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8.xml.rels" ContentType="application/vnd.openxmlformats-package.relationships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7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media/image2.jpeg" ContentType="image/jpeg"/>
  <Override PartName="/xl/media/image3.wmf" ContentType="image/x-wmf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drawings/vmlDrawing4.vml" ContentType="application/vnd.openxmlformats-officedocument.vmlDrawing"/>
  <Override PartName="/xl/drawings/vmlDrawing5.vml" ContentType="application/vnd.openxmlformats-officedocument.vmlDrawing"/>
  <Override PartName="/xl/drawings/vmlDrawing6.vml" ContentType="application/vnd.openxmlformats-officedocument.vmlDrawing"/>
  <Override PartName="/xl/drawings/_rels/drawing1.xml.rels" ContentType="application/vnd.openxmlformats-package.relationship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8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Mapa Estratégico e ODS" sheetId="1" state="visible" r:id="rId2"/>
    <sheet name="indicadores e metas" sheetId="2" state="visible" r:id="rId3"/>
    <sheet name="Quadro Geral" sheetId="3" state="visible" r:id="rId4"/>
    <sheet name="Anexo 1. Fontes e Aplicações" sheetId="4" state="visible" r:id="rId5"/>
    <sheet name="Anexo 2. Limites Estratégicos" sheetId="5" state="visible" r:id="rId6"/>
    <sheet name="Anexo 3.Elemento de Despesas" sheetId="6" state="visible" r:id="rId7"/>
    <sheet name="Validação de dados" sheetId="7" state="hidden" r:id="rId8"/>
    <sheet name="Diretrizes - Resumo" sheetId="8" state="hidden" r:id="rId9"/>
    <sheet name="Matriz de Obj. Estrat." sheetId="9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function="false" hidden="false" localSheetId="3" name="_xlnm.Print_Area" vbProcedure="false">'Anexo 1. Fontes e Aplicações'!$A$4:$G$59</definedName>
    <definedName function="false" hidden="false" localSheetId="4" name="_xlnm.Print_Area" vbProcedure="false">'Anexo 2. Limites Estratégicos'!$A$2:$N$28</definedName>
    <definedName function="false" hidden="false" localSheetId="5" name="_xlnm.Print_Area" vbProcedure="false">'Anexo 3.Elemento de Despesas'!$A$2:$R$77</definedName>
    <definedName function="false" hidden="false" localSheetId="1" name="_xlnm.Print_Area" vbProcedure="false">'indicadores e metas'!$A$2:$F$106</definedName>
    <definedName function="false" hidden="false" localSheetId="0" name="_xlnm.Print_Area" vbProcedure="false">'Mapa Estratégico e ODS'!$A$2:$K$3</definedName>
    <definedName function="false" hidden="false" localSheetId="8" name="_xlnm.Print_Area" vbProcedure="false">'Matriz de Obj. Estrat.'!$A$1:$K$19</definedName>
    <definedName function="false" hidden="false" localSheetId="2" name="_xlnm.Print_Area" vbProcedure="false">'Quadro Geral'!$A$2:$M$77</definedName>
    <definedName function="false" hidden="true" localSheetId="2" name="_xlnm._FilterDatabase" vbProcedure="false">'Quadro Geral'!$A$7:$AE$79</definedName>
    <definedName function="false" hidden="false" name="A" vbProcedure="false">#REF!</definedName>
    <definedName function="false" hidden="false" name="Anexo" vbProcedure="false">#REF!</definedName>
    <definedName function="false" hidden="false" name="Anexo_1.4.4" vbProcedure="false">#REF!</definedName>
    <definedName function="false" hidden="false" name="ar" vbProcedure="false">#N/A</definedName>
    <definedName function="false" hidden="false" name="asas" vbProcedure="false">#REF!</definedName>
    <definedName function="false" hidden="false" name="ass" vbProcedure="false">#REF!</definedName>
    <definedName function="false" hidden="false" name="banco_de_dados_sym" vbProcedure="false">#REF!</definedName>
    <definedName function="false" hidden="false" name="Copia" vbProcedure="false">#REF!</definedName>
    <definedName function="false" hidden="false" name="copia2" vbProcedure="false">#REF!</definedName>
    <definedName function="false" hidden="false" name="dados" vbProcedure="false">#REF!</definedName>
    <definedName function="false" hidden="false" name="Database" vbProcedure="false">#REF!</definedName>
    <definedName function="false" hidden="false" name="DEZEMBRO" vbProcedure="false">#REF!</definedName>
    <definedName function="false" hidden="false" name="huala" vbProcedure="false">#REF!</definedName>
    <definedName function="false" hidden="false" name="kk" vbProcedure="false">#REF!</definedName>
    <definedName function="false" hidden="false" name="Percentual5" vbProcedure="false">'[2]estudos - receita'!$xfb$1:$xfb$20</definedName>
    <definedName function="false" hidden="false" name="PJ2anos" vbProcedure="false">'[2]Estudos - Quant. PJ'!$K$1:$O$1048576,'[2]Estudos - Quant. PJ'!$J$2</definedName>
    <definedName function="false" hidden="false" name="PREs" vbProcedure="false">#N/A</definedName>
    <definedName function="false" hidden="false" name="Presid" vbProcedure="false">#N/A</definedName>
    <definedName function="false" hidden="false" name="X" vbProcedure="false">#REF!</definedName>
    <definedName function="false" hidden="false" name="XFE1048575" vbProcedure="false">#REF!</definedName>
    <definedName function="false" hidden="false" name="XFe1048576" vbProcedure="false">#REF!</definedName>
    <definedName function="false" hidden="false" name="_xlnm.Criteria" vbProcedure="false">#REF!</definedName>
    <definedName function="false" hidden="false" name="_xlnm.Database" vbProcedure="false">#REF!</definedName>
    <definedName function="false" hidden="false" name="__xlfn_IFERROR" vbProcedure="false">#N/A</definedName>
    <definedName function="false" hidden="false" localSheetId="7" name="A" vbProcedure="false">#REF!</definedName>
    <definedName function="false" hidden="false" localSheetId="7" name="banco_de_dados_sym" vbProcedure="false">#REF!</definedName>
    <definedName function="false" hidden="false" localSheetId="7" name="Percentual5" vbProcedure="false">'[1]estudos - receita'!$xfb$1:$xfb$20</definedName>
    <definedName function="false" hidden="false" localSheetId="7" name="PJ2anos" vbProcedure="false">'[1]Estudos - Quant. PJ'!$K$1:$O$1048576,'[1]Estudos - Quant. PJ'!$J$2</definedName>
    <definedName function="false" hidden="false" localSheetId="7" name="XFE1048575" vbProcedure="false">#REF!</definedName>
    <definedName function="false" hidden="false" localSheetId="7" name="XFe1048576" vbProcedure="false">#REF!</definedName>
    <definedName function="false" hidden="false" localSheetId="7" name="_xlnm.Database" vbProcedure="false">#REF!</definedName>
    <definedName function="false" hidden="false" localSheetId="7" name="_xlnm._FilterDatabase" vbProcedure="false">'Diretrizes - Resumo'!$A$3:$V$30</definedName>
    <definedName function="false" hidden="false" localSheetId="8" name="A" vbProcedure="false">#REF!</definedName>
    <definedName function="false" hidden="false" localSheetId="8" name="Anexo" vbProcedure="false">#REF!</definedName>
    <definedName function="false" hidden="false" localSheetId="8" name="Anexo_1.4.4" vbProcedure="false">#REF!</definedName>
    <definedName function="false" hidden="false" localSheetId="8" name="asas" vbProcedure="false">#REF!</definedName>
    <definedName function="false" hidden="false" localSheetId="8" name="ass" vbProcedure="false">#REF!</definedName>
    <definedName function="false" hidden="false" localSheetId="8" name="banco_de_dados_sym" vbProcedure="false">#REF!</definedName>
    <definedName function="false" hidden="false" localSheetId="8" name="Copia" vbProcedure="false">#REF!</definedName>
    <definedName function="false" hidden="false" localSheetId="8" name="copia2" vbProcedure="false">#REF!</definedName>
    <definedName function="false" hidden="false" localSheetId="8" name="dados" vbProcedure="false">#REF!</definedName>
    <definedName function="false" hidden="false" localSheetId="8" name="Database" vbProcedure="false">#REF!</definedName>
    <definedName function="false" hidden="false" localSheetId="8" name="DEZEMBRO" vbProcedure="false">#REF!</definedName>
    <definedName function="false" hidden="false" localSheetId="8" name="huala" vbProcedure="false">#REF!</definedName>
    <definedName function="false" hidden="false" localSheetId="8" name="kk" vbProcedure="false">#REF!</definedName>
    <definedName function="false" hidden="false" localSheetId="8" name="X" vbProcedure="false">#REF!</definedName>
    <definedName function="false" hidden="false" localSheetId="8" name="XFE1048575" vbProcedure="false">#REF!</definedName>
    <definedName function="false" hidden="false" localSheetId="8" name="XFe1048576" vbProcedure="false">#REF!</definedName>
    <definedName function="false" hidden="false" localSheetId="8" name="_xlnm.Criteria" vbProcedure="false">#REF!</definedName>
    <definedName function="false" hidden="false" localSheetId="8" name="_xlnm.Database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23" authorId="0">
      <text>
        <r>
          <rPr>
            <sz val="11"/>
            <color rgb="FF000000"/>
            <rFont val="Calibri"/>
            <family val="2"/>
            <charset val="1"/>
          </rPr>
          <t xml:space="preserve">user:
</t>
        </r>
        <r>
          <rPr>
            <sz val="9"/>
            <color rgb="FF000000"/>
            <rFont val="Segoe UI"/>
            <family val="2"/>
            <charset val="1"/>
          </rPr>
          <t xml:space="preserve">N/C, se tiver 100%
</t>
        </r>
      </text>
    </comment>
    <comment ref="F57" authorId="0">
      <text>
        <r>
          <rPr>
            <sz val="11"/>
            <color rgb="FF000000"/>
            <rFont val="Calibri"/>
            <family val="2"/>
            <charset val="1"/>
          </rPr>
          <t xml:space="preserve">user:
</t>
        </r>
        <r>
          <rPr>
            <sz val="9"/>
            <color rgb="FF000000"/>
            <rFont val="Segoe UI"/>
            <family val="2"/>
            <charset val="1"/>
          </rPr>
          <t xml:space="preserve">dados repetidos pelo Toninho Comunicaçao</t>
        </r>
      </text>
    </comment>
    <comment ref="F64" authorId="0">
      <text>
        <r>
          <rPr>
            <sz val="11"/>
            <color rgb="FF000000"/>
            <rFont val="Calibri"/>
            <family val="2"/>
            <charset val="1"/>
          </rPr>
          <t xml:space="preserve">user:
</t>
        </r>
        <r>
          <rPr>
            <sz val="9"/>
            <color rgb="FF000000"/>
            <rFont val="Segoe UI"/>
            <family val="0"/>
            <charset val="1"/>
          </rPr>
          <t xml:space="preserve">dados da cef, somente 2 não tem disciplina, só trabalhos relacinados.
</t>
        </r>
      </text>
    </comment>
    <comment ref="F66" authorId="0">
      <text>
        <r>
          <rPr>
            <sz val="11"/>
            <color rgb="FF000000"/>
            <rFont val="Calibri"/>
            <family val="2"/>
            <charset val="1"/>
          </rPr>
          <t xml:space="preserve">user:
</t>
        </r>
        <r>
          <rPr>
            <sz val="9"/>
            <color rgb="FF000000"/>
            <rFont val="Segoe UI"/>
            <family val="2"/>
            <charset val="1"/>
          </rPr>
          <t xml:space="preserve">em 2021 até out foi 56/280=20% a Elaine/Ética está prevendo 30% para 2022.</t>
        </r>
      </text>
    </comment>
    <comment ref="F68" authorId="0">
      <text>
        <r>
          <rPr>
            <sz val="11"/>
            <color rgb="FF000000"/>
            <rFont val="Calibri"/>
            <family val="2"/>
            <charset val="1"/>
          </rPr>
          <t xml:space="preserve">user:
</t>
        </r>
        <r>
          <rPr>
            <sz val="9"/>
            <color rgb="FF000000"/>
            <rFont val="Segoe UI"/>
            <family val="2"/>
            <charset val="1"/>
          </rPr>
          <t xml:space="preserve">dados fornecidos pela Elaine/Ética.</t>
        </r>
      </text>
    </comment>
    <comment ref="F73" authorId="0">
      <text>
        <r>
          <rPr>
            <sz val="11"/>
            <color rgb="FF000000"/>
            <rFont val="Calibri"/>
            <family val="2"/>
            <charset val="1"/>
          </rPr>
          <t xml:space="preserve">user:
</t>
        </r>
        <r>
          <rPr>
            <sz val="9"/>
            <color rgb="FF000000"/>
            <rFont val="Segoe UI"/>
            <family val="2"/>
            <charset val="1"/>
          </rPr>
          <t xml:space="preserve">previsão em cima da média 10 meses informada pele Gerente da Fiscalização em 29/10/21
</t>
        </r>
      </text>
    </comment>
    <comment ref="F75" authorId="0">
      <text>
        <r>
          <rPr>
            <sz val="11"/>
            <color rgb="FF000000"/>
            <rFont val="Calibri"/>
            <family val="2"/>
            <charset val="1"/>
          </rPr>
          <t xml:space="preserve">user:
</t>
        </r>
        <r>
          <rPr>
            <sz val="9"/>
            <color rgb="FF000000"/>
            <rFont val="Segoe UI"/>
            <family val="2"/>
            <charset val="1"/>
          </rPr>
          <t xml:space="preserve">previsão em cima da média 10 meses informada pele Gerente da Fiscalização em 29/10/21
</t>
        </r>
      </text>
    </comment>
    <comment ref="F103" authorId="0">
      <text>
        <r>
          <rPr>
            <sz val="11"/>
            <color rgb="FF000000"/>
            <rFont val="Calibri"/>
            <family val="2"/>
            <charset val="1"/>
          </rPr>
          <t xml:space="preserve">user:
</t>
        </r>
        <r>
          <rPr>
            <sz val="9"/>
            <color rgb="FF000000"/>
            <rFont val="Segoe UI"/>
            <family val="2"/>
            <charset val="1"/>
          </rPr>
          <t xml:space="preserve">Dados Marcos da TI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6" authorId="0">
      <text>
        <r>
          <rPr>
            <b val="true"/>
            <sz val="16"/>
            <color rgb="FF000000"/>
            <rFont val="Tahoma"/>
            <family val="2"/>
            <charset val="1"/>
          </rPr>
          <t xml:space="preserve">Área ou setor responsável pela Atividade ou Projeto</t>
        </r>
      </text>
    </comment>
    <comment ref="B6" authorId="0">
      <text>
        <r>
          <rPr>
            <b val="true"/>
            <sz val="14"/>
            <color rgb="FF000000"/>
            <rFont val="Calibri Light"/>
            <family val="2"/>
            <charset val="1"/>
          </rPr>
          <t xml:space="preserve">P= Projeto                                         A= Atividade 
PE= Projeto Específico</t>
        </r>
      </text>
    </comment>
    <comment ref="C6" authorId="0">
      <text>
        <r>
          <rPr>
            <b val="true"/>
            <sz val="13"/>
            <color rgb="FF000000"/>
            <rFont val="Tahoma"/>
            <family val="2"/>
            <charset val="1"/>
          </rPr>
          <t xml:space="preserve">Nome do Projeto ou Atividade do Plano de Ação .</t>
        </r>
      </text>
    </comment>
    <comment ref="C63" authorId="0">
      <text>
        <r>
          <rPr>
            <sz val="11"/>
            <color rgb="FF000000"/>
            <rFont val="Calibri"/>
            <family val="2"/>
            <charset val="1"/>
          </rPr>
          <t xml:space="preserve">user:
</t>
        </r>
        <r>
          <rPr>
            <sz val="12"/>
            <color rgb="FF000000"/>
            <rFont val="Segoe UI"/>
            <family val="2"/>
            <charset val="1"/>
          </rPr>
          <t xml:space="preserve">A denominação anterior de "Ações prioritarias da Comissão de Exercicio Profissional - Estruturação da Gestão Descentralizada" passa a ser "Ações prioritarias da Comissão de Exercicio Profissional"</t>
        </r>
      </text>
    </comment>
    <comment ref="C66" authorId="0">
      <text>
        <r>
          <rPr>
            <sz val="11"/>
            <color rgb="FF000000"/>
            <rFont val="Calibri"/>
            <family val="2"/>
            <charset val="1"/>
          </rPr>
          <t xml:space="preserve">user:
</t>
        </r>
        <r>
          <rPr>
            <sz val="14"/>
            <color rgb="FF000000"/>
            <rFont val="Segoe UI"/>
            <family val="2"/>
            <charset val="1"/>
          </rPr>
          <t xml:space="preserve">A Denominação anterior de "Agenda 2030 e ODS" passa a ser "Ações Prioritárias da Comissão de Política Urbana e Ambiental de Arquitetura e Urbanismo Público"</t>
        </r>
      </text>
    </comment>
    <comment ref="D6" authorId="0">
      <text>
        <r>
          <rPr>
            <b val="true"/>
            <sz val="13"/>
            <color rgb="FF000000"/>
            <rFont val="Tahoma"/>
            <family val="2"/>
            <charset val="1"/>
          </rPr>
          <t xml:space="preserve">
É a motivação geral e a síntese dos efeitos que se deseja produzir.</t>
        </r>
      </text>
    </comment>
    <comment ref="E6" authorId="0">
      <text>
        <r>
          <rPr>
            <b val="true"/>
            <sz val="14"/>
            <color rgb="FF000000"/>
            <rFont val="Tahoma"/>
            <family val="2"/>
            <charset val="1"/>
          </rPr>
          <t xml:space="preserve">Selecionar uma das opções nas células abaixo que estão de acordo com os objetivos estratégicos do Mapa Estratégico no âmbito das perspectivas da Sociedade, Processos Internos, Alavancadores e Pessoas e Infraestrutura.</t>
        </r>
      </text>
    </comment>
    <comment ref="F6" authorId="0">
      <text>
        <r>
          <rPr>
            <sz val="11"/>
            <color rgb="FF000000"/>
            <rFont val="Calibri"/>
            <family val="2"/>
            <charset val="1"/>
          </rPr>
          <t xml:space="preserve">Ao firmar o compromisso de incluir os ODS à sua estratégia, o CAU abre caminho para melhorar sua atuação e atender aos anseios da sociedade por projetos e serviços alinhados aos princípios da sustentabilidade. Neste contexto, torna-se </t>
        </r>
        <r>
          <rPr>
            <b val="true"/>
            <sz val="14"/>
            <color rgb="FF000000"/>
            <rFont val="Tahoma"/>
            <family val="2"/>
            <charset val="1"/>
          </rPr>
          <t xml:space="preserve">facultativo</t>
        </r>
        <r>
          <rPr>
            <sz val="12"/>
            <color rgb="FF000000"/>
            <rFont val="Tahoma"/>
            <family val="2"/>
            <charset val="1"/>
          </rPr>
          <t xml:space="preserve"> o enquadramento dos projetos e atividades nos ODS em 2022</t>
        </r>
      </text>
    </comment>
    <comment ref="G6" authorId="0">
      <text>
        <r>
          <rPr>
            <b val="true"/>
            <sz val="12"/>
            <color rgb="FF000000"/>
            <rFont val="Tahoma"/>
            <family val="2"/>
            <charset val="1"/>
          </rPr>
          <t xml:space="preserve">São os efeitos que devem ser produzidos com a execução do projeto/atividade, dentro do seu horizonte do tempo. Refletem o objetivo geral do projeto e representam o seu desdobramento em metas mensuráveis. </t>
        </r>
      </text>
    </comment>
    <comment ref="H6" authorId="0">
      <text>
        <r>
          <rPr>
            <sz val="11"/>
            <color rgb="FF000000"/>
            <rFont val="Calibri"/>
            <family val="2"/>
            <charset val="1"/>
          </rPr>
          <t xml:space="preserve">Os valores devem ser iguais do último Plano de Ação aprovado.
</t>
        </r>
      </text>
    </comment>
    <comment ref="I6" authorId="0">
      <text>
        <r>
          <rPr>
            <b val="true"/>
            <sz val="13"/>
            <color rgb="FF000000"/>
            <rFont val="Tahoma"/>
            <family val="2"/>
            <charset val="1"/>
          </rPr>
          <t xml:space="preserve">Valores  dos Projetos/Atividades do Plano de Ação da Programação 2022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11" authorId="0">
      <text>
        <r>
          <rPr>
            <b val="true"/>
            <sz val="10"/>
            <color rgb="FF000000"/>
            <rFont val="Tahoma"/>
            <family val="2"/>
            <charset val="1"/>
          </rPr>
          <t xml:space="preserve">Somar os valores do exercício 2022
 e exercícios anteriores.</t>
        </r>
      </text>
    </comment>
    <comment ref="A14" authorId="0">
      <text>
        <r>
          <rPr>
            <sz val="11"/>
            <color rgb="FF000000"/>
            <rFont val="Calibri"/>
            <family val="2"/>
            <charset val="1"/>
          </rPr>
          <t xml:space="preserve">Somar os valores do exercício 2022 e exercícios anteriores.
</t>
        </r>
      </text>
    </comment>
    <comment ref="A32" authorId="0">
      <text>
        <r>
          <rPr>
            <sz val="11"/>
            <color rgb="FF000000"/>
            <rFont val="Calibri"/>
            <family val="2"/>
            <charset val="1"/>
          </rPr>
          <t xml:space="preserve">Apenas o Valor do APORTE DO CSC
</t>
        </r>
        <r>
          <rPr>
            <sz val="9"/>
            <color rgb="FF000000"/>
            <rFont val="Tahoma"/>
            <family val="2"/>
            <charset val="1"/>
          </rPr>
          <t xml:space="preserve">Fiscalização + Atendimento</t>
        </r>
      </text>
    </comment>
    <comment ref="A50" authorId="0">
      <text>
        <r>
          <rPr>
            <b val="true"/>
            <sz val="9"/>
            <color rgb="FF000000"/>
            <rFont val="Segoe UI"/>
            <family val="2"/>
            <charset val="1"/>
          </rPr>
          <t xml:space="preserve">Superávit a ser utilizado, de acordo com o Art. 9 da Resolução 200</t>
        </r>
      </text>
    </comment>
    <comment ref="B52" authorId="0">
      <text>
        <r>
          <rPr>
            <sz val="11"/>
            <color rgb="FF000000"/>
            <rFont val="Calibri"/>
            <family val="2"/>
            <charset val="1"/>
          </rPr>
          <t xml:space="preserve">user:
</t>
        </r>
        <r>
          <rPr>
            <sz val="9"/>
            <color rgb="FF000000"/>
            <rFont val="Segoe UI"/>
            <family val="2"/>
            <charset val="1"/>
          </rPr>
          <t xml:space="preserve">observação: veículo de 150.000,00  é capital
os demais e despesa corrente</t>
        </r>
      </text>
    </comment>
    <comment ref="C5" authorId="0">
      <text>
        <r>
          <rPr>
            <b val="true"/>
            <sz val="9"/>
            <color rgb="FF000000"/>
            <rFont val="Segoe UI"/>
            <family val="2"/>
            <charset val="1"/>
          </rPr>
          <t xml:space="preserve">O valor da Reprogramação 2021 deve ser igual ao valor APROVADO vigente no Plano de Ação 2021.</t>
        </r>
      </text>
    </comment>
    <comment ref="D5" authorId="0">
      <text>
        <r>
          <rPr>
            <b val="true"/>
            <sz val="9"/>
            <color rgb="FF000000"/>
            <rFont val="Segoe UI"/>
            <family val="2"/>
            <charset val="1"/>
          </rPr>
          <t xml:space="preserve">Os valores devem ser o aprovado nas Diretrizes da Programação 2022.</t>
        </r>
      </text>
    </comment>
    <comment ref="D29" authorId="0">
      <text>
        <r>
          <rPr>
            <sz val="11"/>
            <color rgb="FF000000"/>
            <rFont val="Calibri"/>
            <family val="2"/>
            <charset val="1"/>
          </rPr>
          <t xml:space="preserve">user:
</t>
        </r>
        <r>
          <rPr>
            <sz val="9"/>
            <color rgb="FF000000"/>
            <rFont val="Segoe UI"/>
            <family val="2"/>
            <charset val="1"/>
          </rPr>
          <t xml:space="preserve">150.000,00 de veículos é capital
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5" authorId="0">
      <text>
        <r>
          <rPr>
            <sz val="11"/>
            <color rgb="FF000000"/>
            <rFont val="Calibri"/>
            <family val="2"/>
            <charset val="1"/>
          </rPr>
          <t xml:space="preserve">Vinculada as Receitas de Arrecadação do Anexo 1.1 - Usos e Fonte COM os valores das anuidades de exercícios anteriores.
</t>
        </r>
      </text>
    </comment>
    <comment ref="B6" authorId="0">
      <text>
        <r>
          <rPr>
            <sz val="11"/>
            <color rgb="FF000000"/>
            <rFont val="Calibri"/>
            <family val="2"/>
            <charset val="1"/>
          </rPr>
          <t xml:space="preserve">Apenas para os Cau Básicos. O valor total deve ser igual do que consta nas Diretrizes da Programação 2022.
</t>
        </r>
      </text>
    </comment>
    <comment ref="B7" authorId="0">
      <text>
        <r>
          <rPr>
            <sz val="11"/>
            <color rgb="FF000000"/>
            <rFont val="Calibri"/>
            <family val="2"/>
            <charset val="1"/>
          </rPr>
          <t xml:space="preserve">= Receita de Arrecadação + Recurso do Fundo de Apoio
</t>
        </r>
      </text>
    </comment>
    <comment ref="B8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Vinculada as Receitas de Arrecadação do Anexo 1.1 - Usos e Fontes</t>
        </r>
      </text>
    </comment>
    <comment ref="B9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RAL= Receita de Arrecadação + Fundo de Apoio (apenas CAU Básicos) - Aporte FA</t>
        </r>
      </text>
    </comment>
    <comment ref="F12" authorId="0">
      <text>
        <r>
          <rPr>
            <sz val="11"/>
            <color rgb="FF000000"/>
            <rFont val="Calibri"/>
            <family val="2"/>
            <charset val="1"/>
          </rPr>
          <t xml:space="preserve">É percentual (%)
</t>
        </r>
      </text>
    </comment>
    <comment ref="F13" authorId="0">
      <text>
        <r>
          <rPr>
            <sz val="11"/>
            <color rgb="FF000000"/>
            <rFont val="Calibri"/>
            <family val="2"/>
            <charset val="1"/>
          </rPr>
          <t xml:space="preserve">É ponto percentual (pp)
</t>
        </r>
      </text>
    </comment>
    <comment ref="F14" authorId="0">
      <text>
        <r>
          <rPr>
            <sz val="11"/>
            <color rgb="FF000000"/>
            <rFont val="Calibri"/>
            <family val="2"/>
            <charset val="1"/>
          </rPr>
          <t xml:space="preserve">É percentual (%)
</t>
        </r>
      </text>
    </comment>
    <comment ref="F15" authorId="0">
      <text>
        <r>
          <rPr>
            <sz val="11"/>
            <color rgb="FF000000"/>
            <rFont val="Calibri"/>
            <family val="2"/>
            <charset val="1"/>
          </rPr>
          <t xml:space="preserve">É ponto percentual (pp)
</t>
        </r>
      </text>
    </comment>
    <comment ref="F16" authorId="0">
      <text>
        <r>
          <rPr>
            <sz val="11"/>
            <color rgb="FF000000"/>
            <rFont val="Calibri"/>
            <family val="2"/>
            <charset val="1"/>
          </rPr>
          <t xml:space="preserve">É percentual (%)
</t>
        </r>
      </text>
    </comment>
    <comment ref="F17" authorId="0">
      <text>
        <r>
          <rPr>
            <sz val="11"/>
            <color rgb="FF000000"/>
            <rFont val="Calibri"/>
            <family val="2"/>
            <charset val="1"/>
          </rPr>
          <t xml:space="preserve">É ponto percentual (pp)
</t>
        </r>
      </text>
    </comment>
    <comment ref="F18" authorId="0">
      <text>
        <r>
          <rPr>
            <sz val="11"/>
            <color rgb="FF000000"/>
            <rFont val="Calibri"/>
            <family val="2"/>
            <charset val="1"/>
          </rPr>
          <t xml:space="preserve">É percentual (%)
</t>
        </r>
      </text>
    </comment>
    <comment ref="F19" authorId="0">
      <text>
        <r>
          <rPr>
            <sz val="11"/>
            <color rgb="FF000000"/>
            <rFont val="Calibri"/>
            <family val="2"/>
            <charset val="1"/>
          </rPr>
          <t xml:space="preserve">É ponto percentual (pp)
</t>
        </r>
      </text>
    </comment>
    <comment ref="F20" authorId="0">
      <text>
        <r>
          <rPr>
            <sz val="11"/>
            <color rgb="FF000000"/>
            <rFont val="Calibri"/>
            <family val="2"/>
            <charset val="1"/>
          </rPr>
          <t xml:space="preserve">É percentual (%)
</t>
        </r>
      </text>
    </comment>
    <comment ref="F21" authorId="0">
      <text>
        <r>
          <rPr>
            <sz val="11"/>
            <color rgb="FF000000"/>
            <rFont val="Calibri"/>
            <family val="2"/>
            <charset val="1"/>
          </rPr>
          <t xml:space="preserve">É ponto percentual (pp)
</t>
        </r>
      </text>
    </comment>
    <comment ref="F22" authorId="0">
      <text>
        <r>
          <rPr>
            <sz val="11"/>
            <color rgb="FF000000"/>
            <rFont val="Calibri"/>
            <family val="2"/>
            <charset val="1"/>
          </rPr>
          <t xml:space="preserve">É percentual (%)
</t>
        </r>
      </text>
    </comment>
    <comment ref="F23" authorId="0">
      <text>
        <r>
          <rPr>
            <sz val="11"/>
            <color rgb="FF000000"/>
            <rFont val="Calibri"/>
            <family val="2"/>
            <charset val="1"/>
          </rPr>
          <t xml:space="preserve">É ponto percentual (pp)
</t>
        </r>
      </text>
    </comment>
    <comment ref="F24" authorId="0">
      <text>
        <r>
          <rPr>
            <sz val="11"/>
            <color rgb="FF000000"/>
            <rFont val="Calibri"/>
            <family val="2"/>
            <charset val="1"/>
          </rPr>
          <t xml:space="preserve">É percentual (%)
</t>
        </r>
      </text>
    </comment>
    <comment ref="F25" authorId="0">
      <text>
        <r>
          <rPr>
            <sz val="11"/>
            <color rgb="FF000000"/>
            <rFont val="Calibri"/>
            <family val="2"/>
            <charset val="1"/>
          </rPr>
          <t xml:space="preserve">É ponto percentual (pp)
</t>
        </r>
      </text>
    </comment>
    <comment ref="I12" authorId="0">
      <text>
        <r>
          <rPr>
            <sz val="12"/>
            <color rgb="FF000000"/>
            <rFont val="Segoe UI"/>
            <family val="2"/>
            <charset val="1"/>
          </rPr>
          <t xml:space="preserve">Não considerar o valor total das rescisões contratuais, auxílio alimentação, auxílio transporte, plano de saúde e demais benefícios</t>
        </r>
      </text>
    </comment>
    <comment ref="I14" authorId="0">
      <text>
        <r>
          <rPr>
            <sz val="12"/>
            <color rgb="FF000000"/>
            <rFont val="Segoe UI"/>
            <family val="2"/>
            <charset val="1"/>
          </rPr>
          <t xml:space="preserve"> Folhas de pagamento (salários, encargos e benefícios)</t>
        </r>
      </text>
    </comment>
    <comment ref="M6" authorId="0">
      <text>
        <r>
          <rPr>
            <sz val="9"/>
            <color rgb="FF000000"/>
            <rFont val="Segoe UI"/>
            <family val="2"/>
            <charset val="1"/>
          </rPr>
          <t xml:space="preserve">Apresentar detalhamento no campo de comentários.</t>
        </r>
      </text>
    </comment>
  </commentList>
</comments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K5" authorId="0">
      <text>
        <r>
          <rPr>
            <b val="true"/>
            <sz val="9"/>
            <color rgb="FF000000"/>
            <rFont val="Segoe UI"/>
            <family val="2"/>
            <charset val="1"/>
          </rPr>
          <t xml:space="preserve">Aporte ao Fundo de apoio
Aporte o CSC
Patrocínio
Convênios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K15" authorId="0">
      <text>
        <r>
          <rPr>
            <sz val="9"/>
            <color rgb="FF000000"/>
            <rFont val="Segoe UI"/>
            <family val="2"/>
            <charset val="1"/>
          </rPr>
          <t xml:space="preserve">Valor apenas do Ressarcimento de Taxas Bancárias</t>
        </r>
      </text>
    </comment>
  </commentList>
</comments>
</file>

<file path=xl/sharedStrings.xml><?xml version="1.0" encoding="utf-8"?>
<sst xmlns="http://schemas.openxmlformats.org/spreadsheetml/2006/main" count="1149" uniqueCount="650">
  <si>
    <r>
      <rPr>
        <sz val="12"/>
        <rFont val="Calibri"/>
        <family val="2"/>
        <charset val="1"/>
      </rPr>
      <t xml:space="preserve">Orientação: Selecionar os objetivos estratégicos prioritários em âmbito local trabalhados em 2022. Os objetivos estratégicos. em âmbito nacional, foram alterados para : </t>
    </r>
    <r>
      <rPr>
        <b val="true"/>
        <sz val="12"/>
        <rFont val="Calibri"/>
        <family val="2"/>
        <charset val="1"/>
      </rPr>
      <t xml:space="preserve">Fiscalização,  AU como Política de Estado e Acesso da Sociedade à AU</t>
    </r>
    <r>
      <rPr>
        <sz val="12"/>
        <rFont val="Calibri"/>
        <family val="2"/>
        <charset val="1"/>
      </rPr>
      <t xml:space="preserve">, devem ser obrigatoriamente trabalhados.</t>
    </r>
  </si>
  <si>
    <t xml:space="preserve">MAPA ESTRATÉGICO CAU/PR</t>
  </si>
  <si>
    <t xml:space="preserve">Objetivos de Desenvolvimento Sustentável </t>
  </si>
  <si>
    <t xml:space="preserve">Obs.: Os Indicadores devem ser vinculados aos objetivos estratégicos priorizados no Mapa Estratégico do CAU/UF, ou seja, os indicadores dos objetivos estratégicos escolhidos no Mapa Estratégico devem ser mensurados.</t>
  </si>
  <si>
    <t xml:space="preserve">CAU/PR</t>
  </si>
  <si>
    <t xml:space="preserve">Indicadores Institucionais e de Resultado (agrupados por objetivo estratégico) - Metas</t>
  </si>
  <si>
    <t xml:space="preserve">Selecione seu UF</t>
  </si>
  <si>
    <t xml:space="preserve">PR</t>
  </si>
  <si>
    <t xml:space="preserve">A- INDICADORES INSTITUCIONAIS</t>
  </si>
  <si>
    <t xml:space="preserve">Impactar significativamente o planejamento e a gestão do território</t>
  </si>
  <si>
    <t xml:space="preserve">Fórmula </t>
  </si>
  <si>
    <t xml:space="preserve">Periodicidade </t>
  </si>
  <si>
    <t xml:space="preserve">Meta
Reprogramação
2021</t>
  </si>
  <si>
    <t xml:space="preserve">Meta
Projeção
2022</t>
  </si>
  <si>
    <r>
      <rPr>
        <sz val="12"/>
        <rFont val="Calibri"/>
        <family val="2"/>
        <charset val="1"/>
      </rPr>
      <t xml:space="preserve">Índice de municípios que possuem  Plano Diretor, em conformidade com os critérios da legislação (%) 
</t>
    </r>
    <r>
      <rPr>
        <b val="true"/>
        <sz val="12"/>
        <color rgb="FF000000"/>
        <rFont val="Calibri"/>
        <family val="2"/>
        <charset val="1"/>
      </rPr>
      <t xml:space="preserve">(CAU/UF) </t>
    </r>
  </si>
  <si>
    <t xml:space="preserve">número de municípios  da UF que possuem  Plano Diretor</t>
  </si>
  <si>
    <t xml:space="preserve">x 100</t>
  </si>
  <si>
    <t xml:space="preserve">Anual</t>
  </si>
  <si>
    <t xml:space="preserve">Não se aplica ao CAU/PR</t>
  </si>
  <si>
    <t xml:space="preserve">total de municípios da UF</t>
  </si>
  <si>
    <t xml:space="preserve">B- INDICADORES DE RESULTADO</t>
  </si>
  <si>
    <t xml:space="preserve">Tornar a fiscalização um vetor de melhoria do exercício da Arquitetura e Urbanismo</t>
  </si>
  <si>
    <r>
      <rPr>
        <sz val="12"/>
        <rFont val="Calibri"/>
        <family val="2"/>
        <charset val="1"/>
      </rPr>
      <t xml:space="preserve">Índice da capacidade de fiscalização (%) 
</t>
    </r>
    <r>
      <rPr>
        <b val="true"/>
        <sz val="12"/>
        <rFont val="Calibri"/>
        <family val="2"/>
        <charset val="1"/>
      </rPr>
      <t xml:space="preserve">(CAU/UF) </t>
    </r>
  </si>
  <si>
    <t xml:space="preserve">quantidade de ações de fiscalização realizadas pelo CAU/UF no mês </t>
  </si>
  <si>
    <t xml:space="preserve">Mensal </t>
  </si>
  <si>
    <t xml:space="preserve">número de ações de fiscalização previstas no Plano de Ação aprovado </t>
  </si>
  <si>
    <r>
      <rPr>
        <sz val="12"/>
        <rFont val="Calibri"/>
        <family val="2"/>
        <charset val="1"/>
      </rPr>
      <t xml:space="preserve">Índice de presença profissional nas obras e  serviços fiscalizados  (%)
</t>
    </r>
    <r>
      <rPr>
        <b val="true"/>
        <sz val="12"/>
        <rFont val="Calibri"/>
        <family val="2"/>
        <charset val="1"/>
      </rPr>
      <t xml:space="preserve">(CAU/UF) </t>
    </r>
    <r>
      <rPr>
        <sz val="12"/>
        <rFont val="Calibri"/>
        <family val="2"/>
        <charset val="1"/>
      </rPr>
      <t xml:space="preserve">                   </t>
    </r>
  </si>
  <si>
    <t xml:space="preserve">quantidade de obras e serviços regulares</t>
  </si>
  <si>
    <t xml:space="preserve">indíce de difícil mensuração</t>
  </si>
  <si>
    <t xml:space="preserve">quantidade de obras e serviços fiscalizados pelo CAU/UF</t>
  </si>
  <si>
    <r>
      <rPr>
        <sz val="12"/>
        <rFont val="Calibri"/>
        <family val="2"/>
        <charset val="1"/>
      </rPr>
      <t xml:space="preserve">Índice de RRT por profissional ativo (Qtd)
</t>
    </r>
    <r>
      <rPr>
        <b val="true"/>
        <sz val="12"/>
        <rFont val="Calibri"/>
        <family val="2"/>
        <charset val="1"/>
      </rPr>
      <t xml:space="preserve">(CAU/UF)         </t>
    </r>
    <r>
      <rPr>
        <sz val="12"/>
        <rFont val="Calibri"/>
        <family val="2"/>
        <charset val="1"/>
      </rPr>
      <t xml:space="preserve">       </t>
    </r>
  </si>
  <si>
    <t xml:space="preserve">número total de RRT registrados (pagos) por mês</t>
  </si>
  <si>
    <t xml:space="preserve"> total de profissionais ativos </t>
  </si>
  <si>
    <r>
      <rPr>
        <sz val="12"/>
        <rFont val="Calibri"/>
        <family val="2"/>
        <charset val="1"/>
      </rPr>
      <t xml:space="preserve">Índice de capacidade de atendimento de denúncias  (%)
</t>
    </r>
    <r>
      <rPr>
        <b val="true"/>
        <sz val="12"/>
        <rFont val="Calibri"/>
        <family val="2"/>
        <charset val="1"/>
      </rPr>
      <t xml:space="preserve">(CAU/UF)</t>
    </r>
  </si>
  <si>
    <t xml:space="preserve">quantidade de denúncias atendidas</t>
  </si>
  <si>
    <t xml:space="preserve">número de denúncias recebidas</t>
  </si>
  <si>
    <r>
      <rPr>
        <sz val="12"/>
        <rFont val="Calibri"/>
        <family val="2"/>
        <charset val="1"/>
      </rPr>
      <t xml:space="preserve">Índice de eficiência na conclusão de processos de fiscalização  (%)
</t>
    </r>
    <r>
      <rPr>
        <b val="true"/>
        <sz val="12"/>
        <rFont val="Calibri"/>
        <family val="2"/>
        <charset val="1"/>
      </rPr>
      <t xml:space="preserve">(CAU/UF)</t>
    </r>
  </si>
  <si>
    <t xml:space="preserve">número de processos de fiscalização concluídos no semestre</t>
  </si>
  <si>
    <t xml:space="preserve">Semestral</t>
  </si>
  <si>
    <t xml:space="preserve"> número total de processos de fiscalização em aberto no ano</t>
  </si>
  <si>
    <r>
      <rPr>
        <sz val="12"/>
        <rFont val="Calibri"/>
        <family val="2"/>
        <charset val="1"/>
      </rPr>
      <t xml:space="preserve">Índice da capacidade de articulação institucional para fiscalização (%)
</t>
    </r>
    <r>
      <rPr>
        <b val="true"/>
        <sz val="12"/>
        <rFont val="Calibri"/>
        <family val="2"/>
        <charset val="1"/>
      </rPr>
      <t xml:space="preserve">(CAU/UF)</t>
    </r>
  </si>
  <si>
    <t xml:space="preserve">quantidade de termos de cooperação técnica e parcerias para racionalização da ações de fiscalização</t>
  </si>
  <si>
    <t xml:space="preserve">número de termos e parcerias previstos no Plano de Ação</t>
  </si>
  <si>
    <r>
      <rPr>
        <sz val="12"/>
        <rFont val="Calibri"/>
        <family val="2"/>
        <charset val="1"/>
      </rPr>
      <t xml:space="preserve">Índice produtividade de fiscalização (%)
</t>
    </r>
    <r>
      <rPr>
        <b val="true"/>
        <sz val="12"/>
        <rFont val="Calibri"/>
        <family val="2"/>
        <charset val="1"/>
      </rPr>
      <t xml:space="preserve">(CAU/UF)</t>
    </r>
  </si>
  <si>
    <t xml:space="preserve">quantidade mensal de ações de fiscalização realizada</t>
  </si>
  <si>
    <t xml:space="preserve">Mensal</t>
  </si>
  <si>
    <t xml:space="preserve">número de horas de fiscalização mensal</t>
  </si>
  <si>
    <r>
      <rPr>
        <sz val="12"/>
        <rFont val="Calibri"/>
        <family val="2"/>
        <charset val="1"/>
      </rPr>
      <t xml:space="preserve">Índice de regularidade no CAU (%)
</t>
    </r>
    <r>
      <rPr>
        <b val="true"/>
        <sz val="12"/>
        <rFont val="Calibri"/>
        <family val="2"/>
        <charset val="1"/>
      </rPr>
      <t xml:space="preserve">(CAU/UF)</t>
    </r>
  </si>
  <si>
    <t xml:space="preserve">quantidade obras e serviços com RRT</t>
  </si>
  <si>
    <r>
      <rPr>
        <sz val="12"/>
        <rFont val="Calibri"/>
        <family val="2"/>
        <charset val="1"/>
      </rPr>
      <t xml:space="preserve">Índice de regularização de obras e serviços (%)
</t>
    </r>
    <r>
      <rPr>
        <b val="true"/>
        <sz val="12"/>
        <rFont val="Calibri"/>
        <family val="2"/>
        <charset val="1"/>
      </rPr>
      <t xml:space="preserve">(CAU/UF)</t>
    </r>
  </si>
  <si>
    <t xml:space="preserve">quantidade de obras e serviços regularizados</t>
  </si>
  <si>
    <r>
      <rPr>
        <sz val="12"/>
        <rFont val="Calibri"/>
        <family val="2"/>
        <charset val="1"/>
      </rPr>
      <t xml:space="preserve">Índice de regularização com RRT (%)
</t>
    </r>
    <r>
      <rPr>
        <b val="true"/>
        <sz val="12"/>
        <rFont val="Calibri"/>
        <family val="2"/>
        <charset val="1"/>
      </rPr>
      <t xml:space="preserve">(CAU/UF)</t>
    </r>
  </si>
  <si>
    <t xml:space="preserve">quantidade de obras e serviços regularizados com RRT</t>
  </si>
  <si>
    <t xml:space="preserve">quantidade obras e serviços regularizados</t>
  </si>
  <si>
    <t xml:space="preserve">Assegurar a eficácia no atendimento e no relacionamento com os arquitetos e urbanistas e a sociedade</t>
  </si>
  <si>
    <r>
      <rPr>
        <sz val="12"/>
        <rFont val="Calibri"/>
        <family val="2"/>
        <charset val="1"/>
      </rPr>
      <t xml:space="preserve">Índice de atendimento (%)
</t>
    </r>
    <r>
      <rPr>
        <b val="true"/>
        <sz val="12"/>
        <rFont val="Calibri"/>
        <family val="2"/>
        <charset val="1"/>
      </rPr>
      <t xml:space="preserve">(CAU/UF)</t>
    </r>
  </si>
  <si>
    <t xml:space="preserve">número de solicitações tratadas no prazo estipulado pela Carta de Serviços no trimestre</t>
  </si>
  <si>
    <t xml:space="preserve">Trimestral</t>
  </si>
  <si>
    <t xml:space="preserve">número de solicitações abertas no trimestre</t>
  </si>
  <si>
    <r>
      <rPr>
        <sz val="12"/>
        <rFont val="Calibri"/>
        <family val="2"/>
        <charset val="1"/>
      </rPr>
      <t xml:space="preserve">Índice de satisfação com a solução da demanda (%)
</t>
    </r>
    <r>
      <rPr>
        <b val="true"/>
        <sz val="12"/>
        <rFont val="Calibri"/>
        <family val="2"/>
        <charset val="1"/>
      </rPr>
      <t xml:space="preserve">(CAU/UF)</t>
    </r>
  </si>
  <si>
    <t xml:space="preserve">número de usuários satisfeitos com a solução da demanda</t>
  </si>
  <si>
    <t xml:space="preserve">número de usuários que responderam a pesquisa</t>
  </si>
  <si>
    <r>
      <rPr>
        <sz val="12"/>
        <rFont val="Calibri"/>
        <family val="2"/>
        <charset val="1"/>
      </rPr>
      <t xml:space="preserve">Índice de reclamações recebidas na Ouvidoria (%)
</t>
    </r>
    <r>
      <rPr>
        <b val="true"/>
        <sz val="12"/>
        <rFont val="Calibri"/>
        <family val="2"/>
        <charset val="1"/>
      </rPr>
      <t xml:space="preserve">(CAU/UF)</t>
    </r>
  </si>
  <si>
    <t xml:space="preserve">número de reclamações recebidas pela Ouvidoria  no trimestre                                                                                                               </t>
  </si>
  <si>
    <t xml:space="preserve">número total de atendimentos pela Ouvidoria no trimestre                                   </t>
  </si>
  <si>
    <t xml:space="preserve">Estimular o conhecimento, o uso de processos criativos e a difusão das melhores práticas em Arquitetura e Urbanismo</t>
  </si>
  <si>
    <r>
      <rPr>
        <sz val="12"/>
        <rFont val="Calibri"/>
        <family val="2"/>
        <charset val="1"/>
      </rPr>
      <t xml:space="preserve">Índice da capacidade de execução dos investimentos em patrocínios  (%)
</t>
    </r>
    <r>
      <rPr>
        <b val="true"/>
        <sz val="12"/>
        <rFont val="Calibri"/>
        <family val="2"/>
        <charset val="1"/>
      </rPr>
      <t xml:space="preserve">(CAU/UF)</t>
    </r>
  </si>
  <si>
    <t xml:space="preserve">valor orçamentário investido (executado) em patrocínios no ano</t>
  </si>
  <si>
    <t xml:space="preserve">Anual
</t>
  </si>
  <si>
    <t xml:space="preserve">valor orçamentário destinado (orçado) em patrocínios no ano</t>
  </si>
  <si>
    <r>
      <rPr>
        <sz val="12"/>
        <rFont val="Calibri"/>
        <family val="2"/>
        <charset val="1"/>
      </rPr>
      <t xml:space="preserve">Índice de difusão de conhecimento em eventos próprios (%)
</t>
    </r>
    <r>
      <rPr>
        <b val="true"/>
        <sz val="12"/>
        <rFont val="Calibri"/>
        <family val="2"/>
        <charset val="1"/>
      </rPr>
      <t xml:space="preserve">(CAU/UF)</t>
    </r>
  </si>
  <si>
    <t xml:space="preserve">Quantidade de participantes presentes</t>
  </si>
  <si>
    <t xml:space="preserve">quantidade de participantes previstas no Plano de Ação Aprovado</t>
  </si>
  <si>
    <r>
      <rPr>
        <sz val="12"/>
        <rFont val="Calibri"/>
        <family val="2"/>
        <charset val="1"/>
      </rPr>
      <t xml:space="preserve">Índice de eficiência de custos de eventos próprios
</t>
    </r>
    <r>
      <rPr>
        <b val="true"/>
        <sz val="12"/>
        <rFont val="Calibri"/>
        <family val="2"/>
        <charset val="1"/>
      </rPr>
      <t xml:space="preserve">(CAU/UF)</t>
    </r>
  </si>
  <si>
    <t xml:space="preserve">custos totais dos eventos</t>
  </si>
  <si>
    <t xml:space="preserve">quantidade de participantes presentes</t>
  </si>
  <si>
    <r>
      <rPr>
        <sz val="12"/>
        <rFont val="Calibri"/>
        <family val="2"/>
        <charset val="1"/>
      </rPr>
      <t xml:space="preserve">Índice de alcance das melhores práticas (%)
</t>
    </r>
    <r>
      <rPr>
        <b val="true"/>
        <sz val="12"/>
        <rFont val="Calibri"/>
        <family val="2"/>
        <charset val="1"/>
      </rPr>
      <t xml:space="preserve">(CAU/UF)</t>
    </r>
  </si>
  <si>
    <t xml:space="preserve">número de pessoas atingida pelo material produzido e distribuído</t>
  </si>
  <si>
    <t xml:space="preserve">quantidade de material informativo produzido</t>
  </si>
  <si>
    <t xml:space="preserve">Garantir a participação dos arquitetos e urbanistas no planejamento territorial e na gestão urbana</t>
  </si>
  <si>
    <r>
      <rPr>
        <sz val="12"/>
        <color rgb="FF000000"/>
        <rFont val="Calibri"/>
        <family val="2"/>
        <charset val="1"/>
      </rPr>
      <t xml:space="preserve">Ações realizadas em conjunto com municípios, destinadas ao planejamento urbano
</t>
    </r>
    <r>
      <rPr>
        <b val="true"/>
        <sz val="12"/>
        <color rgb="FF000000"/>
        <rFont val="Calibri"/>
        <family val="2"/>
        <charset val="1"/>
      </rPr>
      <t xml:space="preserve">(CAU/UF)</t>
    </r>
  </si>
  <si>
    <t xml:space="preserve">número de ações com participação do CAU/UF</t>
  </si>
  <si>
    <t xml:space="preserve">Estimular a produção da arquitetura e urbanismo como política de Estado</t>
  </si>
  <si>
    <r>
      <rPr>
        <sz val="12"/>
        <rFont val="Calibri"/>
        <family val="2"/>
        <charset val="1"/>
      </rPr>
      <t xml:space="preserve">Participação do CAU na elaboração ou regulamentação da Lei da Assistência Técnica Gratuita (Lei nº 11.888/08) (%)
</t>
    </r>
    <r>
      <rPr>
        <b val="true"/>
        <sz val="12"/>
        <rFont val="Calibri"/>
        <family val="2"/>
        <charset val="1"/>
      </rPr>
      <t xml:space="preserve">(CAU/UF)</t>
    </r>
  </si>
  <si>
    <t xml:space="preserve">número de municípios da UF que passaram a aplicar a Lei de Assistência Técnica</t>
  </si>
  <si>
    <r>
      <rPr>
        <sz val="12"/>
        <rFont val="Calibri"/>
        <family val="2"/>
        <charset val="1"/>
      </rPr>
      <t xml:space="preserve">Índice de ações realizadas destinadas à Assistência Técnica (%)
</t>
    </r>
    <r>
      <rPr>
        <b val="true"/>
        <sz val="12"/>
        <rFont val="Calibri"/>
        <family val="2"/>
        <charset val="1"/>
      </rPr>
      <t xml:space="preserve">(CAU/UF)</t>
    </r>
  </si>
  <si>
    <t xml:space="preserve">Assegurar a eficácia no relacionamento e comunicação com a sociedade</t>
  </si>
  <si>
    <r>
      <rPr>
        <sz val="12"/>
        <rFont val="Calibri"/>
        <family val="2"/>
        <charset val="1"/>
      </rPr>
      <t xml:space="preserve">Acessos à página do CAU (Qtd.)
</t>
    </r>
    <r>
      <rPr>
        <b val="true"/>
        <sz val="12"/>
        <rFont val="Calibri"/>
        <family val="2"/>
        <charset val="1"/>
      </rPr>
      <t xml:space="preserve">(CAU/UF)</t>
    </r>
  </si>
  <si>
    <t xml:space="preserve">quantidade de acessos qualificados (visitantes únicos) a página do CAU/UF</t>
  </si>
  <si>
    <r>
      <rPr>
        <sz val="12"/>
        <rFont val="Calibri"/>
        <family val="2"/>
        <charset val="1"/>
      </rPr>
      <t xml:space="preserve">Índice de presença na mídia como um todo (%)
</t>
    </r>
    <r>
      <rPr>
        <b val="true"/>
        <sz val="12"/>
        <rFont val="Calibri"/>
        <family val="2"/>
        <charset val="1"/>
      </rPr>
      <t xml:space="preserve">(CAU/UF)</t>
    </r>
  </si>
  <si>
    <t xml:space="preserve">número de inserções na mídia em geral onde o CAU/UF foi citado</t>
  </si>
  <si>
    <t xml:space="preserve">total de notícias sobre questões de Arquitetura e Urbanismo</t>
  </si>
  <si>
    <r>
      <rPr>
        <sz val="12"/>
        <rFont val="Calibri"/>
        <family val="2"/>
        <charset val="1"/>
      </rPr>
      <t xml:space="preserve">Índice de inserções positivas na mídia (%)
</t>
    </r>
    <r>
      <rPr>
        <b val="true"/>
        <sz val="12"/>
        <rFont val="Calibri"/>
        <family val="2"/>
        <charset val="1"/>
      </rPr>
      <t xml:space="preserve">(CAU/UF)</t>
    </r>
  </si>
  <si>
    <t xml:space="preserve">número de inserções positivas do CAU/UF na mídia</t>
  </si>
  <si>
    <t xml:space="preserve">total de inserções do CAU na mídia</t>
  </si>
  <si>
    <t xml:space="preserve">Número de  visualizações das publicações do CAU/UF das redes sociais</t>
  </si>
  <si>
    <t xml:space="preserve">quantidade de visualizações das publicações do CAU/UF das redes sociais</t>
  </si>
  <si>
    <t xml:space="preserve">índice em revisão será implantado em 2022</t>
  </si>
  <si>
    <t xml:space="preserve">Promover o exercício ético e qualificado da profissão</t>
  </si>
  <si>
    <r>
      <rPr>
        <sz val="12"/>
        <rFont val="Calibri"/>
        <family val="2"/>
        <charset val="1"/>
      </rPr>
      <t xml:space="preserve">Índice de escolas que possuem disciplinas com conteúdo sobre a ética profissional (%)
</t>
    </r>
    <r>
      <rPr>
        <b val="true"/>
        <sz val="12"/>
        <rFont val="Calibri"/>
        <family val="2"/>
        <charset val="1"/>
      </rPr>
      <t xml:space="preserve">(CAU/UF)</t>
    </r>
  </si>
  <si>
    <t xml:space="preserve">número de escolas da UF com a disciplina de ética profissional na grade curricular</t>
  </si>
  <si>
    <t xml:space="preserve">número total de escolas da UF</t>
  </si>
  <si>
    <r>
      <rPr>
        <sz val="12"/>
        <rFont val="Calibri"/>
        <family val="2"/>
        <charset val="1"/>
      </rPr>
      <t xml:space="preserve">Índice de eficiência na conclusão de processos éticos (%)
</t>
    </r>
    <r>
      <rPr>
        <b val="true"/>
        <sz val="12"/>
        <rFont val="Calibri"/>
        <family val="2"/>
        <charset val="1"/>
      </rPr>
      <t xml:space="preserve">(CAU/UF)</t>
    </r>
  </si>
  <si>
    <t xml:space="preserve">número de processos éticos concluídos em um ano</t>
  </si>
  <si>
    <t xml:space="preserve">número total de processos éticos abertos</t>
  </si>
  <si>
    <r>
      <rPr>
        <sz val="12"/>
        <rFont val="Calibri"/>
        <family val="2"/>
        <charset val="1"/>
      </rPr>
      <t xml:space="preserve">Eficiência no trâmite de processos éticos (dias)
</t>
    </r>
    <r>
      <rPr>
        <b val="true"/>
        <sz val="12"/>
        <rFont val="Calibri"/>
        <family val="2"/>
        <charset val="1"/>
      </rPr>
      <t xml:space="preserve">(CAU/UF)</t>
    </r>
  </si>
  <si>
    <t xml:space="preserve">tempo médio de conclusão de processos éticos</t>
  </si>
  <si>
    <t xml:space="preserve">tempo máximo para conclusão de processo</t>
  </si>
  <si>
    <t xml:space="preserve">Fomentar o acesso da sociedade à Arquitetura e Urbanismo</t>
  </si>
  <si>
    <r>
      <rPr>
        <sz val="12"/>
        <rFont val="Calibri"/>
        <family val="2"/>
        <charset val="1"/>
      </rPr>
      <t xml:space="preserve">Índice de RRT por população (1.000 habitantes) (%)
</t>
    </r>
    <r>
      <rPr>
        <b val="true"/>
        <sz val="12"/>
        <rFont val="Calibri"/>
        <family val="2"/>
        <charset val="1"/>
      </rPr>
      <t xml:space="preserve">(CAU/UF)</t>
    </r>
  </si>
  <si>
    <t xml:space="preserve">total de RRT pagos na UF</t>
  </si>
  <si>
    <t xml:space="preserve">população total da UF/1000 habitantes</t>
  </si>
  <si>
    <r>
      <rPr>
        <sz val="12"/>
        <rFont val="Calibri"/>
        <family val="2"/>
        <charset val="1"/>
      </rPr>
      <t xml:space="preserve">Índice de RRT mínimos (%)
</t>
    </r>
    <r>
      <rPr>
        <b val="true"/>
        <sz val="12"/>
        <rFont val="Calibri"/>
        <family val="2"/>
        <charset val="1"/>
      </rPr>
      <t xml:space="preserve">(CAU/UF)</t>
    </r>
  </si>
  <si>
    <t xml:space="preserve">RRT mínima</t>
  </si>
  <si>
    <t xml:space="preserve">total de RRT na UF</t>
  </si>
  <si>
    <r>
      <rPr>
        <sz val="12"/>
        <rFont val="Calibri"/>
        <family val="2"/>
        <charset val="1"/>
      </rPr>
      <t xml:space="preserve">Índice de RRT Social (%)
</t>
    </r>
    <r>
      <rPr>
        <b val="true"/>
        <sz val="12"/>
        <rFont val="Calibri"/>
        <family val="2"/>
        <charset val="1"/>
      </rPr>
      <t xml:space="preserve">(CAU/UF)</t>
    </r>
  </si>
  <si>
    <t xml:space="preserve">RRT Social</t>
  </si>
  <si>
    <t xml:space="preserve">Assegurar a sustentabilidade financeira</t>
  </si>
  <si>
    <r>
      <rPr>
        <sz val="12"/>
        <rFont val="Calibri"/>
        <family val="2"/>
        <charset val="1"/>
      </rPr>
      <t xml:space="preserve">Índice de receita por arquiteto e urbanista 
</t>
    </r>
    <r>
      <rPr>
        <b val="true"/>
        <sz val="12"/>
        <rFont val="Calibri"/>
        <family val="2"/>
        <charset val="1"/>
      </rPr>
      <t xml:space="preserve">(CAU/UF)</t>
    </r>
  </si>
  <si>
    <t xml:space="preserve">receita corrente</t>
  </si>
  <si>
    <t xml:space="preserve">Semestral 
</t>
  </si>
  <si>
    <t xml:space="preserve">total de profissionais ativos</t>
  </si>
  <si>
    <r>
      <rPr>
        <sz val="12"/>
        <rFont val="Calibri"/>
        <family val="2"/>
        <charset val="1"/>
      </rPr>
      <t xml:space="preserve">Relação receita/custo total de pessoal (%)
</t>
    </r>
    <r>
      <rPr>
        <b val="true"/>
        <sz val="12"/>
        <rFont val="Calibri"/>
        <family val="2"/>
        <charset val="1"/>
      </rPr>
      <t xml:space="preserve">(CAU/UF)</t>
    </r>
  </si>
  <si>
    <t xml:space="preserve">custo total de pessoal</t>
  </si>
  <si>
    <t xml:space="preserve">Semestral </t>
  </si>
  <si>
    <r>
      <rPr>
        <sz val="12"/>
        <rFont val="Calibri"/>
        <family val="2"/>
        <charset val="1"/>
      </rPr>
      <t xml:space="preserve">Índice de liquidez corrente 
</t>
    </r>
    <r>
      <rPr>
        <b val="true"/>
        <sz val="12"/>
        <rFont val="Calibri"/>
        <family val="2"/>
        <charset val="1"/>
      </rPr>
      <t xml:space="preserve">(CAU/UF)</t>
    </r>
  </si>
  <si>
    <t xml:space="preserve">ativo circulante</t>
  </si>
  <si>
    <t xml:space="preserve">passivo circulante</t>
  </si>
  <si>
    <r>
      <rPr>
        <sz val="12"/>
        <rFont val="Calibri"/>
        <family val="2"/>
        <charset val="1"/>
      </rPr>
      <t xml:space="preserve">Índice de inadimplência pessoa física (%)
</t>
    </r>
    <r>
      <rPr>
        <b val="true"/>
        <sz val="12"/>
        <rFont val="Calibri"/>
        <family val="2"/>
        <charset val="1"/>
      </rPr>
      <t xml:space="preserve">(CAU/UF)</t>
    </r>
  </si>
  <si>
    <t xml:space="preserve">total de profissionais inadimplentes</t>
  </si>
  <si>
    <t xml:space="preserve">total de profissionais potenciais pagantes</t>
  </si>
  <si>
    <r>
      <rPr>
        <sz val="12"/>
        <rFont val="Calibri"/>
        <family val="2"/>
        <charset val="1"/>
      </rPr>
      <t xml:space="preserve">Índice de inadimplência pessoa jurídica (%)
</t>
    </r>
    <r>
      <rPr>
        <b val="true"/>
        <sz val="12"/>
        <rFont val="Calibri"/>
        <family val="2"/>
        <charset val="1"/>
      </rPr>
      <t xml:space="preserve">(CAU/UF)</t>
    </r>
  </si>
  <si>
    <t xml:space="preserve">total de empresas inadimplentes</t>
  </si>
  <si>
    <t xml:space="preserve">total de empresas ativas </t>
  </si>
  <si>
    <t xml:space="preserve">Aprimorar e inovar os processos e as ações</t>
  </si>
  <si>
    <r>
      <rPr>
        <sz val="12"/>
        <rFont val="Calibri"/>
        <family val="2"/>
        <charset val="1"/>
      </rPr>
      <t xml:space="preserve">Índice de mapeamento processos (%)
</t>
    </r>
    <r>
      <rPr>
        <b val="true"/>
        <sz val="12"/>
        <rFont val="Calibri"/>
        <family val="2"/>
        <charset val="1"/>
      </rPr>
      <t xml:space="preserve">(CAU/UF)</t>
    </r>
  </si>
  <si>
    <t xml:space="preserve">número de processos mapeados</t>
  </si>
  <si>
    <t xml:space="preserve">total de processos existentes </t>
  </si>
  <si>
    <r>
      <rPr>
        <sz val="12"/>
        <rFont val="Calibri"/>
        <family val="2"/>
        <charset val="1"/>
      </rPr>
      <t xml:space="preserve">Índice de normatização de processos (%)
</t>
    </r>
    <r>
      <rPr>
        <b val="true"/>
        <sz val="12"/>
        <rFont val="Calibri"/>
        <family val="2"/>
        <charset val="1"/>
      </rPr>
      <t xml:space="preserve">(CAU/UF)</t>
    </r>
  </si>
  <si>
    <t xml:space="preserve">número de processos normatizados</t>
  </si>
  <si>
    <t xml:space="preserve">total de processos existentes</t>
  </si>
  <si>
    <r>
      <rPr>
        <sz val="12"/>
        <rFont val="Calibri"/>
        <family val="2"/>
        <charset val="1"/>
      </rPr>
      <t xml:space="preserve">Índice de automação de processos (%)
</t>
    </r>
    <r>
      <rPr>
        <b val="true"/>
        <sz val="12"/>
        <rFont val="Calibri"/>
        <family val="2"/>
        <charset val="1"/>
      </rPr>
      <t xml:space="preserve">(CAU/UF)</t>
    </r>
  </si>
  <si>
    <t xml:space="preserve">número de processos automatizados</t>
  </si>
  <si>
    <t xml:space="preserve">Desenvolver competências de dirigentes e colaboradores</t>
  </si>
  <si>
    <r>
      <rPr>
        <sz val="12"/>
        <rFont val="Calibri"/>
        <family val="2"/>
        <charset val="1"/>
      </rPr>
      <t xml:space="preserve">Média de horas de treinamento por colaboradores e dirigentes
</t>
    </r>
    <r>
      <rPr>
        <b val="true"/>
        <sz val="12"/>
        <rFont val="Calibri"/>
        <family val="2"/>
        <charset val="1"/>
      </rPr>
      <t xml:space="preserve">(CAU/UF)</t>
    </r>
  </si>
  <si>
    <t xml:space="preserve">horas totais de treinamento</t>
  </si>
  <si>
    <t xml:space="preserve">número total de colaboradores e dirigentes</t>
  </si>
  <si>
    <t xml:space="preserve">Construir cultura organizacional adequada à estratégia</t>
  </si>
  <si>
    <t xml:space="preserve">Número de ações executadas</t>
  </si>
  <si>
    <t xml:space="preserve">quantidade de ações executadas voltadas à cultura organizacional e estratégia                                                                                                                  </t>
  </si>
  <si>
    <t xml:space="preserve">Índice de cumprimento das metas do Plano de Ação (%)</t>
  </si>
  <si>
    <r>
      <rPr>
        <sz val="12"/>
        <rFont val="Calibri"/>
        <family val="2"/>
        <charset val="1"/>
      </rPr>
      <t xml:space="preserve">total de iniciativas executadas</t>
    </r>
    <r>
      <rPr>
        <b val="true"/>
        <sz val="12"/>
        <rFont val="Calibri"/>
        <family val="2"/>
        <charset val="1"/>
      </rPr>
      <t xml:space="preserve">                                                                       </t>
    </r>
  </si>
  <si>
    <r>
      <rPr>
        <sz val="12"/>
        <rFont val="Calibri"/>
        <family val="2"/>
        <charset val="1"/>
      </rPr>
      <t xml:space="preserve">total de iniciativas planejadas</t>
    </r>
    <r>
      <rPr>
        <b val="true"/>
        <sz val="12"/>
        <rFont val="Calibri"/>
        <family val="2"/>
        <charset val="1"/>
      </rPr>
      <t xml:space="preserve">                                                                                  </t>
    </r>
  </si>
  <si>
    <t xml:space="preserve">Ter sistemas de informação e infraestrutura que viabilizem a gestão e o atendimento dos arquitetos e urbanistas e a sociedade</t>
  </si>
  <si>
    <r>
      <rPr>
        <sz val="12"/>
        <rFont val="Calibri"/>
        <family val="2"/>
        <charset val="1"/>
      </rPr>
      <t xml:space="preserve">Índice de satisfação interna com a tecnologia utilizada (%)
</t>
    </r>
    <r>
      <rPr>
        <b val="true"/>
        <sz val="12"/>
        <rFont val="Calibri"/>
        <family val="2"/>
        <charset val="1"/>
      </rPr>
      <t xml:space="preserve">(CAU/UF)</t>
    </r>
  </si>
  <si>
    <t xml:space="preserve">número de usuários internos satisfeitos com a tecnologia</t>
  </si>
  <si>
    <t xml:space="preserve">total de usuários internos que participaram da pesquisa</t>
  </si>
  <si>
    <r>
      <rPr>
        <sz val="12"/>
        <rFont val="Calibri"/>
        <family val="2"/>
        <charset val="1"/>
      </rPr>
      <t xml:space="preserve">Índice de satisfação externa com a tecnologia utilizada (%)
</t>
    </r>
    <r>
      <rPr>
        <b val="true"/>
        <sz val="12"/>
        <rFont val="Calibri"/>
        <family val="2"/>
        <charset val="1"/>
      </rPr>
      <t xml:space="preserve">(CAU/UF)</t>
    </r>
  </si>
  <si>
    <t xml:space="preserve">número de usuários externos satisfeitos com a tecnologia</t>
  </si>
  <si>
    <t xml:space="preserve">total de usuários externos que participaram da pesquisa</t>
  </si>
  <si>
    <t xml:space="preserve">Justificativas para os indicadores que não foram propostas metas:</t>
  </si>
  <si>
    <t xml:space="preserve">Indicadores selecionados pelo UF (para uso do CAU/BR)</t>
  </si>
  <si>
    <r>
      <rPr>
        <b val="true"/>
        <sz val="12"/>
        <rFont val="Calibri"/>
        <family val="2"/>
        <charset val="1"/>
      </rPr>
      <t xml:space="preserve">Orientação: As células sinalizadas, em cinza, são fórmulas e não devem ser modificadas. Verificar os comentários colocando o cursor na célula correspondente, no cabeçalho. </t>
    </r>
    <r>
      <rPr>
        <b val="true"/>
        <sz val="12"/>
        <color rgb="FF000000"/>
        <rFont val="Calibri"/>
        <family val="2"/>
        <charset val="1"/>
      </rPr>
      <t xml:space="preserve">Caso seja necessário aumentar o número de linhas, favor verificar a continuidade das fórmulas. 
O enquadramento aos Objetivos de Desenvolvimento Sustentável (ODS) é facultativo. Cabe ressaltar que o aporte ao CSC e o custeio da Participação do Presidente nas Plenárias Ampliadas, para os CAU/Básicos, devem ser custeados pelo Fundo de Apoio, obedecendo as Resoluções 119 e 126 e a Proposta 02/2021 - CG-FA.</t>
    </r>
  </si>
  <si>
    <t xml:space="preserve">PLANO DE AÇÃO - PROGRAMAÇÃO  2022</t>
  </si>
  <si>
    <t xml:space="preserve">1. QUADRO GERAL</t>
  </si>
  <si>
    <t xml:space="preserve">A custear com Recursos do Superávit Financeiro (R$)
 (E) </t>
  </si>
  <si>
    <t xml:space="preserve">Unidade Responsável</t>
  </si>
  <si>
    <t xml:space="preserve">P/A/ PE</t>
  </si>
  <si>
    <t xml:space="preserve">Denominação</t>
  </si>
  <si>
    <t xml:space="preserve">Objetivo Geral </t>
  </si>
  <si>
    <t xml:space="preserve">Objetivo Estratégico Principal</t>
  </si>
  <si>
    <t xml:space="preserve">Objetivos de Desenvolvimento Sustentável</t>
  </si>
  <si>
    <t xml:space="preserve">Resultado</t>
  </si>
  <si>
    <t xml:space="preserve">Reprogramação
2021 
R$ (A)</t>
  </si>
  <si>
    <t xml:space="preserve">Programação
 2022
 R$ (B)</t>
  </si>
  <si>
    <t xml:space="preserve">Variação (2022/2021) </t>
  </si>
  <si>
    <t xml:space="preserve"> Valor (R$)
(C=B-A)</t>
  </si>
  <si>
    <t xml:space="preserve">% 
(D= C/A *100)</t>
  </si>
  <si>
    <t xml:space="preserve">Nº</t>
  </si>
  <si>
    <t xml:space="preserve">variação</t>
  </si>
  <si>
    <t xml:space="preserve">Gabinete da Presidência e Secretária da Presidência</t>
  </si>
  <si>
    <t xml:space="preserve">A</t>
  </si>
  <si>
    <t xml:space="preserve">Plenário do CAU/PR</t>
  </si>
  <si>
    <t xml:space="preserve">Garantir a infraestrutura para os conselheiros deliberarem sobre as atividades do CAU/PR.</t>
  </si>
  <si>
    <t xml:space="preserve">Garantir ampla participação dos conselheiros nas tomadas de decisões do CAU/PR</t>
  </si>
  <si>
    <t xml:space="preserve">Comissão de Ensino e Formação Profissional (CEF)</t>
  </si>
  <si>
    <t xml:space="preserve">Manutenção e Desenvolvimento da Comissão de Ensino e Formação Profissional/PR (CEF/PR)</t>
  </si>
  <si>
    <t xml:space="preserve">Deliberar sobre as atividades de ensino e formação dos Arquitetos e Urbanistas.</t>
  </si>
  <si>
    <t xml:space="preserve">Influenciar as diretrizes do ensino de Arquitetura e Urbanismo e sua formação continuada</t>
  </si>
  <si>
    <t xml:space="preserve">Garantir ampla participação dos conselheiros nas tomadas de decisões do CAU/PR, representando o Conselho em eventos, encontros e reuniões da Comissão de Ensino e Formação profissional assim como nas sessões plenárias.</t>
  </si>
  <si>
    <t xml:space="preserve">Comissão de Ética e Disciplina (CED)</t>
  </si>
  <si>
    <t xml:space="preserve">Manutenção e Desenvolvimento da Comissão de Ética e Disciplina/PR (CED/PR)</t>
  </si>
  <si>
    <t xml:space="preserve">Deliberar sobre ética nas atividades dos Arquitetos e Urbanistas.</t>
  </si>
  <si>
    <t xml:space="preserve">Garantir ampla participação dos conselheiros nas tomadas de decisões do CAU/PR, representando o Conselho em eventos, encontros e reuniões relacionados a  Comissão de Ética e Disciplina assim como nas sessões plenárias.</t>
  </si>
  <si>
    <t xml:space="preserve">Comissão de Exercício Profissional (CEP)</t>
  </si>
  <si>
    <t xml:space="preserve">Manutenção e Desenvolvimento da Comissão de Exercício Profissional/PR (CEP/PR)</t>
  </si>
  <si>
    <t xml:space="preserve">Deliberar sobre as atribuições dos Arquitetos e Urbanistas.</t>
  </si>
  <si>
    <t xml:space="preserve">Garantir ampla participação dos conselheiros nas tomadas de decisões do CAU/PR, representando o conselho em eventos, encontros e reuniões relacionadas da  Comissão de Exercício Profissional assim como nas sessões plenárias.</t>
  </si>
  <si>
    <t xml:space="preserve">Comissão de Organização e Administração (COA)</t>
  </si>
  <si>
    <t xml:space="preserve">Manutenção e Desenvolvimento da Comissão de Organização e Administração/PR (COA/PR)</t>
  </si>
  <si>
    <t xml:space="preserve">Deliberar sobre as atividades administrativas do CAU/PR.</t>
  </si>
  <si>
    <t xml:space="preserve">Garantir ampla participação dos conselheiros nas tomadas de decisões do CAU/PR, representando o Conselho em eventos, encontros e reuniões relacionadas da  Comissão de Organização e Administração assim como nas sessões plenárias.</t>
  </si>
  <si>
    <t xml:space="preserve">Comissão de Planejamento e Finanças (CPFi)</t>
  </si>
  <si>
    <t xml:space="preserve">Manutenção e Desenvolvimento da Comissão de Planejamento e Finanças/PR (CPFi/PR)</t>
  </si>
  <si>
    <t xml:space="preserve">Deliberar sobre as atividades financeiras do CAU/PR.</t>
  </si>
  <si>
    <t xml:space="preserve">Garantir ampla participação dos conselheiros nas tomadas de decisões do CAU/PR, representando o Conselho em eventos, encontros e reuniões relacionadas da Comissão de Planejamento e Finanças assim como nas sessões plenárias.</t>
  </si>
  <si>
    <t xml:space="preserve">Manutenção da CEAU/PR</t>
  </si>
  <si>
    <t xml:space="preserve">Dar suporte as atividades e reuniões do CEAU-CAU/PR.</t>
  </si>
  <si>
    <t xml:space="preserve">Garantir ampla participação das entidades estaduais de A.U. nas tomadas de decisões do CAU.</t>
  </si>
  <si>
    <t xml:space="preserve">Manutenção da CPUA/PR</t>
  </si>
  <si>
    <t xml:space="preserve">Dar suporte as atividades e reuniões da CPUA/PR.</t>
  </si>
  <si>
    <t xml:space="preserve">Estimular a produção da Arquitetura e Urbanismo como política de Estado</t>
  </si>
  <si>
    <t xml:space="preserve">Garantir ampla participação dos conselheiros nas reuniões de Política Urbana e Ambiental do CAU/PR.</t>
  </si>
  <si>
    <t xml:space="preserve">Manutenção do Conselho Diretor do CAU/PR</t>
  </si>
  <si>
    <t xml:space="preserve">Deliberar sobre as atividades do CAU/PR.</t>
  </si>
  <si>
    <t xml:space="preserve">Garantir ampla participação dos conselheiros nas tomadas de decisões do CAU/PR.</t>
  </si>
  <si>
    <t xml:space="preserve">Manutenção e Aprimoramento da Presidência</t>
  </si>
  <si>
    <t xml:space="preserve">Dar suporte as atividades da presidência e secretarias da presidência.</t>
  </si>
  <si>
    <t xml:space="preserve">Garantir o andamento e suporte a gestão do CAU/PR .</t>
  </si>
  <si>
    <t xml:space="preserve">Gerência Técnica - Coordenação de Fiscalização</t>
  </si>
  <si>
    <t xml:space="preserve">Manutenção da Atividade da Fiscalização CAU/PR</t>
  </si>
  <si>
    <t xml:space="preserve">Fiscalizar o exercício da Arquitetura e Urbanismo no estado do Paraná.</t>
  </si>
  <si>
    <t xml:space="preserve">Manutenção das atividades de fiscalização no CAU/PR.</t>
  </si>
  <si>
    <t xml:space="preserve">Fiscalização CAU/PR - Regionais (Cascavel, Londrina, Maringá, Pato Branco e Guarapuava)</t>
  </si>
  <si>
    <t xml:space="preserve">Fiscalizar o exercício da Arquitetura e Urbanismo nas Regionais do Conselho</t>
  </si>
  <si>
    <t xml:space="preserve">Manutenção das atividades de fiscalização nas Regionais do CAU/PR .</t>
  </si>
  <si>
    <t xml:space="preserve">Fiscalização CAU/PR - Regional Cascavel</t>
  </si>
  <si>
    <t xml:space="preserve">Fiscalizar o exercício da Arquitetura e Urbanismo na Regional de Cascavel.</t>
  </si>
  <si>
    <t xml:space="preserve">Manutenção das atividades de fiscalização na Regional de Cascavel do CAU/PR .</t>
  </si>
  <si>
    <t xml:space="preserve">Fiscalização CAU/PR - Regional Londrina</t>
  </si>
  <si>
    <t xml:space="preserve">Fiscalizar o exercício da Arquitetura e Urbanismo na Regional de Londrina.</t>
  </si>
  <si>
    <t xml:space="preserve">Manutenção das atividades de fiscalização na Regional de Londrina do CAU/PR.</t>
  </si>
  <si>
    <t xml:space="preserve">Fiscalização CAU/PR - Regional Maringá</t>
  </si>
  <si>
    <t xml:space="preserve">Fiscalizar o exercício da Arquitetura e Urbanismo na Regional de Maringá.</t>
  </si>
  <si>
    <t xml:space="preserve">Manutenção das atividades de fiscalização na Regional de Maringá do CAU/PR.</t>
  </si>
  <si>
    <t xml:space="preserve">Fiscalização CAU/PR - Regional Pato Branco</t>
  </si>
  <si>
    <t xml:space="preserve">Fiscalizar o exercício da Arquitetura e Urbanismo na Regional de  Pato Branco.</t>
  </si>
  <si>
    <t xml:space="preserve">Manutenção das atividades de fiscalização na Regional de Pato Branco do CAU/PR.</t>
  </si>
  <si>
    <t xml:space="preserve">Fiscalização CAU/PR - Regional Guarapuava</t>
  </si>
  <si>
    <t xml:space="preserve">Fiscalizar o exercício da Arquitetura e Urbanismo na Regional de Guarapuava.</t>
  </si>
  <si>
    <t xml:space="preserve">Manutenção das atividades de fiscalização na Regional de Guarapuava do CAU/PR.</t>
  </si>
  <si>
    <t xml:space="preserve">CSC - Fiscalização</t>
  </si>
  <si>
    <t xml:space="preserve">Manutenção das atividades do CSC e TAQ.</t>
  </si>
  <si>
    <t xml:space="preserve">Gerência Técnica - Coordenação de Atendimento</t>
  </si>
  <si>
    <t xml:space="preserve">Atendimento Qualificado</t>
  </si>
  <si>
    <t xml:space="preserve">Atendimento aos arquitetos e ao público em geral e demais atividades de competência do CAU/PR.</t>
  </si>
  <si>
    <t xml:space="preserve">Assegurar a eficácia no atendimento e no relacionamento com os Arquitetos e Urbanistas e a Sociedade</t>
  </si>
  <si>
    <t xml:space="preserve">Manter a infraestrutura física e de pessoal do atendimento aos profissionais do CAU/PR.</t>
  </si>
  <si>
    <t xml:space="preserve">Atendimento CAU - Regionais (Cascavel, Londrina, Maringá e Pato Branco)</t>
  </si>
  <si>
    <t xml:space="preserve">Manutenção da atividade de Atendimento nas regionais do CAU/PR</t>
  </si>
  <si>
    <t xml:space="preserve">Manter a área de atendimento nas regionais do Conselho.</t>
  </si>
  <si>
    <t xml:space="preserve">Atendimento CAU - Regional de Cascavel</t>
  </si>
  <si>
    <t xml:space="preserve">Manutenção da atividade de Atendimento na regional de Cascavel.</t>
  </si>
  <si>
    <t xml:space="preserve">Manter a área de atendimento na regional do conselho.</t>
  </si>
  <si>
    <t xml:space="preserve">Atendimento CAU - Regional de Londrina</t>
  </si>
  <si>
    <t xml:space="preserve">Manutenção da atividade de Atendimento na regional de Londrina.</t>
  </si>
  <si>
    <t xml:space="preserve">Atendimento CAU - Regional de Maringá</t>
  </si>
  <si>
    <t xml:space="preserve">Manutenção da atividade de Atendimento na regional de Maringá.</t>
  </si>
  <si>
    <t xml:space="preserve">Atendimento CAU - Regional de Pato Branco</t>
  </si>
  <si>
    <t xml:space="preserve">Manutenção da atividade de Atendimento na regional de Pato Branco.</t>
  </si>
  <si>
    <t xml:space="preserve">CSC - Atendimento</t>
  </si>
  <si>
    <t xml:space="preserve">Manter a operação das atividades do CSC e TAQ.</t>
  </si>
  <si>
    <t xml:space="preserve">Gerência Administrativa</t>
  </si>
  <si>
    <t xml:space="preserve">Manutenção e Desenvolvimento das Atividades da Ger. Administrativa - Sede</t>
  </si>
  <si>
    <t xml:space="preserve">Manutenção, aquisição e locação de bens e serviços necessários ao funcionamento do CAU/PR.</t>
  </si>
  <si>
    <t xml:space="preserve">Garantir a boa infraestrutura do conselho e andamento dos processos internos.</t>
  </si>
  <si>
    <t xml:space="preserve">Manutenção e Desenvolvimento das Atividades da Ger. Administrativa nas Regionais (Cascavel, Londrina, Maringá, Pato Branco e Guarapuava)</t>
  </si>
  <si>
    <t xml:space="preserve">Manutenção, aquisição e locação de bens e serviços necessários ao funcionamento das Regionais do Conselho</t>
  </si>
  <si>
    <t xml:space="preserve">Manutenção e Desenvolvimento das Atividades da Ger. Administrativa - Cascavel</t>
  </si>
  <si>
    <t xml:space="preserve">Manutenção, aquisição e locação de bens e serviços necessários ao funcionamento da regional em Cascavel do CAU/PR.</t>
  </si>
  <si>
    <t xml:space="preserve">Manutenção e Desenvolvimento das Atividades da Ger. Administrativa - Londrina</t>
  </si>
  <si>
    <t xml:space="preserve">Manutenção, aquisição e locação de bens e serviços necessários ao funcionamento da regional em Londrina do CAU/PR.</t>
  </si>
  <si>
    <t xml:space="preserve">Manutenção e Desenvolvimento das Atividades da Ger. Administrativa - Maringá</t>
  </si>
  <si>
    <t xml:space="preserve">Manutenção, aquisição e locação de bens e serviços necessários ao funcionamento da regional em Maringá do CAU/PR.</t>
  </si>
  <si>
    <t xml:space="preserve">Manutenção e Desenvolvimento das Atividades da Ger. Administrativa - Pato Branco</t>
  </si>
  <si>
    <t xml:space="preserve">Manutenção, aquisição e locação de bens e serviços necessários ao funcionamento da regional em Pato Branco do CAU/PR.</t>
  </si>
  <si>
    <t xml:space="preserve">Manutenção e Desenvolvimento das Atividades da Ger. Administrativa - Guarapuava</t>
  </si>
  <si>
    <t xml:space="preserve">Manutenção, aquisição e locação de bens e serviços necessários ao funcionamento da regional em Guarapuava do CAU/PR.</t>
  </si>
  <si>
    <t xml:space="preserve">Capacitação e Treinamentos</t>
  </si>
  <si>
    <t xml:space="preserve">Melhoria na qualificação dos colaboradores e treinamento para padronização de procedimentos administrativos e garantir a eficácia em todos os departamentos.</t>
  </si>
  <si>
    <t xml:space="preserve">Aprimorar o conhecimento dos colaboradores e melhor os processos internos do CAU.</t>
  </si>
  <si>
    <t xml:space="preserve">Gerência de Comunicação</t>
  </si>
  <si>
    <t xml:space="preserve">Desenvolvimento e manutenção das atividades da Gerência de Comunicação</t>
  </si>
  <si>
    <t xml:space="preserve">Funcionamento do setor de Comunicação do Conselho de Arquitetura e Urbanismo do Paraná.</t>
  </si>
  <si>
    <t xml:space="preserve">Manutenção do relacionamento e da comunicação entre o CAU/PR, a sociedade e os profissionais.</t>
  </si>
  <si>
    <t xml:space="preserve">Gerência Contábil e Financeira</t>
  </si>
  <si>
    <t xml:space="preserve">Manutenção e Desenvolvimento das Atividades do Departamento Financeiro e Contábil</t>
  </si>
  <si>
    <t xml:space="preserve">Zelar pelo correto controle e execução do plano orçamentário do CAU/PR.</t>
  </si>
  <si>
    <t xml:space="preserve">Manter a infraestrutura física e de pessoal do departamento financeiro e contábil.</t>
  </si>
  <si>
    <t xml:space="preserve">Fundo de Apoio - CAU Básico</t>
  </si>
  <si>
    <t xml:space="preserve">Viabilizar a operação dos CAU-UF enquadrados como CAU Básico.</t>
  </si>
  <si>
    <t xml:space="preserve">Manter as parcelas destinadas ao fundo de apoio quitadas.</t>
  </si>
  <si>
    <t xml:space="preserve">Gerência Jurídica</t>
  </si>
  <si>
    <t xml:space="preserve">Manutenção e Desenvolvimento das Atividades da Assessoria Jurídica</t>
  </si>
  <si>
    <t xml:space="preserve">Garantir o funcionamento do departamento jurídico do conselho assessorando as tomadas de decisões e garantir o bom andamento de processos envolvendo o CAU/PR.</t>
  </si>
  <si>
    <t xml:space="preserve">Garantir amparo jurídico e legal nos processos do CAU/PR.</t>
  </si>
  <si>
    <t xml:space="preserve">Gerência de Planejamento e Gestão Estratégica</t>
  </si>
  <si>
    <t xml:space="preserve">Manutenção e Desenvolvimento das Atividades da Gerência de Planejamento e Gestão Estratégica</t>
  </si>
  <si>
    <t xml:space="preserve">Garantir o funcionamento do departamento de planejamento do conselho assessorando as tomadas de decisões e garantir o bom andamento orçamentário envolvendo o CAU/PR.</t>
  </si>
  <si>
    <t xml:space="preserve">Manter o bom planejamento do CAU/PR adequado aos rumos estratégicos definidos pelo CAU/BR até 2023 assim como o bom andamento orçamentário do Conselho.</t>
  </si>
  <si>
    <t xml:space="preserve">Reserva de Contingência</t>
  </si>
  <si>
    <t xml:space="preserve">Reserva no orçamento destinada a suportar ações de natureza estratégica e operacional não contempladas no plano de ação.</t>
  </si>
  <si>
    <t xml:space="preserve">Manter reserva orçamentária para imprevistos e readequações e projetos e atividades.</t>
  </si>
  <si>
    <t xml:space="preserve">P</t>
  </si>
  <si>
    <t xml:space="preserve">Assistência Técnica em Habitação de Interesse Social (ATHIS)</t>
  </si>
  <si>
    <t xml:space="preserve">Garantir e ampliar o direito à Arquitetura e Urbanismo a todos.</t>
  </si>
  <si>
    <t xml:space="preserve">Desenvolver plano, ações e eventos que fomentem e valorizem o desenvolvimento das atividades de arquitetura e urbanismo na ATHIS.</t>
  </si>
  <si>
    <t xml:space="preserve">Edital de Patrocínios</t>
  </si>
  <si>
    <t xml:space="preserve">Patrocinar projetos que visem o aperfeiçoamento e a difusão da Arquitetura e Urbanismo.</t>
  </si>
  <si>
    <t xml:space="preserve">Garantir o estímulo ao conhecimento, ao uso de processos criativos e à difusão de boas práticas em Arquitetura e Urbanismo.</t>
  </si>
  <si>
    <t xml:space="preserve">PDTI</t>
  </si>
  <si>
    <t xml:space="preserve">Manter os sistemas de informações e a infraestrutura de TI adequada ao conselho.</t>
  </si>
  <si>
    <t xml:space="preserve">Assegurar a estrutura de TI do conselho adequada as atividades desempenhadas.</t>
  </si>
  <si>
    <t xml:space="preserve">Reforma da Sede Propria</t>
  </si>
  <si>
    <t xml:space="preserve">Ter infraestrutura própria e adequada ao atendimento e à fiscalização do CAU/PR.</t>
  </si>
  <si>
    <t xml:space="preserve">Adequação da infraestrutura do CAU/PR e redução de despesas correntes.</t>
  </si>
  <si>
    <t xml:space="preserve">Comissão temporária Construindo em BIM (Building Information Modeling)</t>
  </si>
  <si>
    <t xml:space="preserve">Incentivar os estudos e desenvolvimento de material para disseminação de novas tecnologias. (reuniões virtuais).</t>
  </si>
  <si>
    <t xml:space="preserve">Realização de eventos sobre Bim valorizando a Arquitetura e Urbanismo junto aos profissionais e a sociedade.</t>
  </si>
  <si>
    <t xml:space="preserve">Câmaras Técnicas</t>
  </si>
  <si>
    <t xml:space="preserve">Valorizar e fortalecer relações com a sociedade.</t>
  </si>
  <si>
    <t xml:space="preserve">Estimular, promover, instrumentalizar e fundamentar as ações dos diversos setores públicos e privados, fomentando a participação dos Arquitetos e Urbanistas na definição das políticas públicas, zelando  pela fiel observância dos princípios de ética e disciplina </t>
  </si>
  <si>
    <t xml:space="preserve">Paraná Conectado (Observatório )</t>
  </si>
  <si>
    <t xml:space="preserve">Melhorar a qualidade da Gestão Pública com ações e debates dos profissionais de Arquitetura e Urbanismo junto a sociedade.</t>
  </si>
  <si>
    <t xml:space="preserve">Semana da Arquitetura e Urbanismo</t>
  </si>
  <si>
    <t xml:space="preserve">Realização de evento visando o aperfeiçoamento da Arquitetura e Urbanismo no Paraná.</t>
  </si>
  <si>
    <t xml:space="preserve">Dia do Arquiteto e Urbanista</t>
  </si>
  <si>
    <t xml:space="preserve">Garantir o estímulo ao conhecimento, ao uso de processos criativos e à difusão de boas práticas em Arquitetura e Urbanismo</t>
  </si>
  <si>
    <t xml:space="preserve">PE</t>
  </si>
  <si>
    <t xml:space="preserve">Implantação do Chatbot e URA</t>
  </si>
  <si>
    <t xml:space="preserve">Implantar plataforma de registro e encamihamento de demandas de atendimento via WhatsApp.</t>
  </si>
  <si>
    <t xml:space="preserve">Proporcionar melhorias no canal de comunicação com os Arquitetos e Urbanistas.</t>
  </si>
  <si>
    <t xml:space="preserve">GT para otimização dos fluxos de processos e trâmites das Comissões</t>
  </si>
  <si>
    <t xml:space="preserve">Dar encaminhamento a todos os processos e procedimentos parados no conselho</t>
  </si>
  <si>
    <t xml:space="preserve">Garantir andamento celere, transparente e eficiente dos processos e procedimentos éticos e administrativos</t>
  </si>
  <si>
    <t xml:space="preserve">Ações prioritarias da Comissão de Ensino e Formação</t>
  </si>
  <si>
    <t xml:space="preserve">Criação de um campo da CEF no portal eletronico do CAU/PR</t>
  </si>
  <si>
    <t xml:space="preserve">Manter a sociedade esclarecida e informada sobre assuntos de atribuição da CEF</t>
  </si>
  <si>
    <t xml:space="preserve">Ações prioritarias da Comissão de Ética e Disciplina</t>
  </si>
  <si>
    <t xml:space="preserve">Condução de um GT para encaminhar os processos pendentes de étia e abrir cooperação técnica com o CAU/BR ref. A processos de outros estados</t>
  </si>
  <si>
    <t xml:space="preserve">Garantir a condução eficiente dos processos de ética da comissão</t>
  </si>
  <si>
    <t xml:space="preserve">Ações prioritarias da Comissão de Exercicio Profissional - CAU nas Universidades</t>
  </si>
  <si>
    <t xml:space="preserve">Estreitamento da relação dos estudantes de AU com o Conselho. Garantir as atribuições privativas da AU. </t>
  </si>
  <si>
    <t xml:space="preserve">Garantir a participação dos Arquitetos e Urbanistas no planejamento territorial e na gestão urbana</t>
  </si>
  <si>
    <t xml:space="preserve">Divulgar informações sobre as práticas e legislação de Arquitetura e Urbanismos para os alunos das instituições superiores de AU.</t>
  </si>
  <si>
    <t xml:space="preserve">Ações Prioritárias da Comissão de Exercício Profissional - Atribuições Profissionais</t>
  </si>
  <si>
    <t xml:space="preserve">Promover ações para garantia das atribuições privativas da Arquitetura e Urbanismo.</t>
  </si>
  <si>
    <t xml:space="preserve">Garantir as atribuições privativa dos Arquitetos e Urbanistas.</t>
  </si>
  <si>
    <t xml:space="preserve">Ações prioritarias da Comissão de Exercicio Profissional - Otimização da Fiscalização</t>
  </si>
  <si>
    <t xml:space="preserve">Otimizar os processo de fiscalização</t>
  </si>
  <si>
    <t xml:space="preserve">Tornar a fiscalização eficiente e acertiva nos procedimentos</t>
  </si>
  <si>
    <t xml:space="preserve">Ações prioritarias da Comissão de Exercicio Profissional</t>
  </si>
  <si>
    <t xml:space="preserve">Modernizar e implantar sistemas informatizados para gerenciamento e controle da estrutura organizacional</t>
  </si>
  <si>
    <t xml:space="preserve">Tornar a estrutura organizacional eficiente</t>
  </si>
  <si>
    <t xml:space="preserve">Ações prioritarias da Comissão de Organização e Administração</t>
  </si>
  <si>
    <t xml:space="preserve">Revisar o Regimento Interno, PCS e Orçamento</t>
  </si>
  <si>
    <t xml:space="preserve">Promover segurança orçamentária e nos normativos internos do Conselho</t>
  </si>
  <si>
    <t xml:space="preserve">Ações prioritarias da Comissão de Planejamento e Finanças</t>
  </si>
  <si>
    <t xml:space="preserve">Averiguar a exatidão e correto cumprimento das normativas legais dos registros contábeis e das demonstrações contábeis, dos procedimentos administrativos e licitatórios, de gestão de pessoal e de planejamento</t>
  </si>
  <si>
    <t xml:space="preserve">Manter o andamento dos procedimentos em consonância com os princípios e dispositivos legais que regem a administração pública</t>
  </si>
  <si>
    <t xml:space="preserve">CPUA</t>
  </si>
  <si>
    <t xml:space="preserve">Ações Prioritárias da Comissão de Política Urbana e Ambiental de Arquitetura e Urbanismo Público</t>
  </si>
  <si>
    <t xml:space="preserve">Promover no âmbito do Estado do Paraná ações que permitam estimular a adoção dos 17 ODS nos municípios paranaenses, por meio de parcerias com órgãos, instituições, academia e sociedade civil.</t>
  </si>
  <si>
    <t xml:space="preserve">Concientizar os municipios da importancia da adoção dos ODS</t>
  </si>
  <si>
    <t xml:space="preserve">Plano Diretor</t>
  </si>
  <si>
    <t xml:space="preserve">Levantar, elaboração, revisão, estudo e reformulação de Planos Diretores das cidades catalogadas de acordo com o levantamento</t>
  </si>
  <si>
    <t xml:space="preserve">Manter os planos diretores do municipios do Paraná revisados e atualizados.</t>
  </si>
  <si>
    <t xml:space="preserve">Estruturação do ATHIS</t>
  </si>
  <si>
    <t xml:space="preserve">Criar uma estrutura de ATHIS adequada ao CAU</t>
  </si>
  <si>
    <t xml:space="preserve">Comissão temporária de Equidade</t>
  </si>
  <si>
    <t xml:space="preserve">Estudar soluções para temas ligados à cidade, urbanismo e meio ambiente</t>
  </si>
  <si>
    <t xml:space="preserve">Realização de eventos sobre Equidade de Gênero valorizando a Arquitetura e Urbanismo junto aos profissionais e a sociedade.</t>
  </si>
  <si>
    <t xml:space="preserve">Preparação de imóvel da regional de Londrina para encerramento de contrato de locação</t>
  </si>
  <si>
    <t xml:space="preserve">Zelar pelo imóvel locado para a regional do conselho</t>
  </si>
  <si>
    <t xml:space="preserve">Entregar o imóvel locado com a infraestrutura no estado em que foi contratado.</t>
  </si>
  <si>
    <t xml:space="preserve">Comissão temporaria do interior</t>
  </si>
  <si>
    <t xml:space="preserve">Promover as praticas de Arquitetura e Urbanismo para as cidades do interior do Estado</t>
  </si>
  <si>
    <t xml:space="preserve">Possibilitar a participação dos AU do interior do estado nas discussões e ações do CAU</t>
  </si>
  <si>
    <t xml:space="preserve">Comissão temporaria parlamentar</t>
  </si>
  <si>
    <t xml:space="preserve">Fomentar e difundir as praticas de Arquitetura e Urbanismo nas politicas públicas</t>
  </si>
  <si>
    <t xml:space="preserve">Permitir ao CAU/PR participação ativa nas pautas politicas que envolvem a arquitetura</t>
  </si>
  <si>
    <t xml:space="preserve">Comissão temporaria das sedes</t>
  </si>
  <si>
    <t xml:space="preserve">Zelar pela manutenção dos imoveis do conselho</t>
  </si>
  <si>
    <t xml:space="preserve">Promover reuniões para deliberações sobre os imoveis do conselho</t>
  </si>
  <si>
    <t xml:space="preserve">Rotas</t>
  </si>
  <si>
    <t xml:space="preserve">Levar a Arquitetura e Urbanismo e o Conselho ao interior do Estado</t>
  </si>
  <si>
    <t xml:space="preserve">Melhorar a abrangênica de atuação do Conselho no Estado do Paraná</t>
  </si>
  <si>
    <t xml:space="preserve">SIGMA (Sistema Inteligente de Georreferenciamento e Monitoramento da Arquitetura)</t>
  </si>
  <si>
    <t xml:space="preserve">Otimizar os processo de fiscalização com aplicação de ferramentas tecnologicas</t>
  </si>
  <si>
    <t xml:space="preserve">Melhorar e facilitar os processos de fiscalização com a utilização de tecnologia</t>
  </si>
  <si>
    <t xml:space="preserve">Processo de Seletivo Simplificado</t>
  </si>
  <si>
    <t xml:space="preserve">Contratação de pessoal por PSS</t>
  </si>
  <si>
    <t xml:space="preserve">Suprir a demanda de atividades das áreas do Conselho com colaboradores qualificados</t>
  </si>
  <si>
    <t xml:space="preserve">TOTAL</t>
  </si>
  <si>
    <t xml:space="preserve">LEGENDA: P = PROJETO/ A = ATIVIDADE/ PE = PROJETO ESPECÍFICO / FA = FUNDO DE APOIO</t>
  </si>
  <si>
    <t xml:space="preserve">COMENTÁRIOS/JUSTIFICATIVAS:</t>
  </si>
  <si>
    <t xml:space="preserve">Orientação:  Na proposta da Programação 2022, para as receitas  de Arrecadação - anuidades de PF e PJ  (do exercício 2022 e dos exercícios anteriores), RRT, taxas e multas, devem ser considerados os valores constantes das Diretrizes da Programação 2022. 
Caso o CAU/UF apresente projeções de receitas divergentes das aprovadas nas Direrizes da Programação 2022, é necessário justificar a alteração e nos informar qual a nova posição do CAU/UF em relação às quantidades e inadimplências aplicadas às projeções de 2022 (PF; PJ; RRT; Taxas e Multas). Para tanto, deve-se utilizar a Minuta das Diretrizes da Programação 2022 e encaminhá-la à GERPLAN.
As receitas de exercícios anteriores devem ser projetadas no mínimo de 10% do valor total a ser arrecadado por cada CAU/UF.  As células sinalizadas, em cinza, são fórmulas e não devem ser modificadas. Verificar os comentários colocando o cursor na célula correspondente, no cabeçalho.</t>
  </si>
  <si>
    <t xml:space="preserve">CAU/UF: PR</t>
  </si>
  <si>
    <t xml:space="preserve">Anexo 1 - Demonstrativo de Fontes e Aplicações - Programação 2022</t>
  </si>
  <si>
    <t xml:space="preserve">Valores em R$ 1,00</t>
  </si>
  <si>
    <t xml:space="preserve">Especificação</t>
  </si>
  <si>
    <t xml:space="preserve">Reprogramação 2021
 (A)</t>
  </si>
  <si>
    <t xml:space="preserve">Programação 2022
  (B)</t>
  </si>
  <si>
    <t xml:space="preserve">Part. %
 (E)           </t>
  </si>
  <si>
    <t xml:space="preserve">Valores
 (C=B-A)</t>
  </si>
  <si>
    <t xml:space="preserve">%       
 (D=C/A)</t>
  </si>
  <si>
    <t xml:space="preserve">A - FONTES</t>
  </si>
  <si>
    <t xml:space="preserve">1. Receitas Correntes</t>
  </si>
  <si>
    <t xml:space="preserve">1.1 Receitas de Arrecadação Total</t>
  </si>
  <si>
    <t xml:space="preserve">1.1.1 Anuidades</t>
  </si>
  <si>
    <t xml:space="preserve">1.1.1.1 Pessoa Física</t>
  </si>
  <si>
    <t xml:space="preserve">1.1.1.1.1 Anuidade do Exercício 2022</t>
  </si>
  <si>
    <t xml:space="preserve">1.1.1.1.2 Anuidade Exercícios anteriores</t>
  </si>
  <si>
    <t xml:space="preserve">1.1.1.2 Pessoa Jurídica</t>
  </si>
  <si>
    <t xml:space="preserve">1.1.1.2.1 Anuidade do Exercício 2022</t>
  </si>
  <si>
    <t xml:space="preserve">1.1.1.2.2 Anuidade Exercícios anteriores</t>
  </si>
  <si>
    <t xml:space="preserve">1.1.3 RRT</t>
  </si>
  <si>
    <t xml:space="preserve">1.1.4 Taxas e Multas</t>
  </si>
  <si>
    <t xml:space="preserve">1.2 Aplicações Financeiras</t>
  </si>
  <si>
    <t xml:space="preserve">1.3 Outras Receitas Correntes</t>
  </si>
  <si>
    <t xml:space="preserve">1.4 Fundo de Apoio</t>
  </si>
  <si>
    <t xml:space="preserve">2. Receitas de Capital</t>
  </si>
  <si>
    <t xml:space="preserve">2.1 Saldos de Exercícios Anteriores (Superávit Financeiro)</t>
  </si>
  <si>
    <t xml:space="preserve">2.2 Outras Receitas de Capital</t>
  </si>
  <si>
    <t xml:space="preserve"> I – TOTAL</t>
  </si>
  <si>
    <t xml:space="preserve">B. APLICAÇÕES</t>
  </si>
  <si>
    <t xml:space="preserve">1. Programação Operacional</t>
  </si>
  <si>
    <t xml:space="preserve">1.1 Projetos</t>
  </si>
  <si>
    <t xml:space="preserve">1.2 Projetos Específicos</t>
  </si>
  <si>
    <t xml:space="preserve">1.3 Atividades</t>
  </si>
  <si>
    <t xml:space="preserve">2. Aportes ao Fundo de Apoio</t>
  </si>
  <si>
    <t xml:space="preserve">3. Aporte ao CSC </t>
  </si>
  <si>
    <t xml:space="preserve">4. Reserva de Contingência</t>
  </si>
  <si>
    <t xml:space="preserve">II – TOTAL</t>
  </si>
  <si>
    <t xml:space="preserve">VARIAÇÃO (I-II)</t>
  </si>
  <si>
    <t xml:space="preserve">RESUMO DA PROGRAMAÇÃO 2022 - POR CATEGORIA ECONÔMICA</t>
  </si>
  <si>
    <t xml:space="preserve">CATEGORIA ECONÔMICA </t>
  </si>
  <si>
    <t xml:space="preserve">FONTES (R$)</t>
  </si>
  <si>
    <t xml:space="preserve">APLICAÇÃO (R$)</t>
  </si>
  <si>
    <t xml:space="preserve">Reprogramação 
2021 
(A)</t>
  </si>
  <si>
    <t xml:space="preserve">Programação 
2022 
(B)</t>
  </si>
  <si>
    <t xml:space="preserve">Variação
(%)</t>
  </si>
  <si>
    <t xml:space="preserve">Corrente</t>
  </si>
  <si>
    <t xml:space="preserve">Capital </t>
  </si>
  <si>
    <t xml:space="preserve">Total</t>
  </si>
  <si>
    <t xml:space="preserve">Correntes
(R$)</t>
  </si>
  <si>
    <t xml:space="preserve">Capital
(R$)</t>
  </si>
  <si>
    <t xml:space="preserve">TOTAL
(R$)</t>
  </si>
  <si>
    <t xml:space="preserve">I - Receitas</t>
  </si>
  <si>
    <t xml:space="preserve">II - Despesas</t>
  </si>
  <si>
    <t xml:space="preserve">Superávit Financeiro para Projetos Específicos</t>
  </si>
  <si>
    <t xml:space="preserve">Informações</t>
  </si>
  <si>
    <t xml:space="preserve">I - Superávit financeiro acumulado em 2020</t>
  </si>
  <si>
    <t xml:space="preserve">II - Despesas de capital</t>
  </si>
  <si>
    <t xml:space="preserve">III - Projetos específicos</t>
  </si>
  <si>
    <t xml:space="preserve">A. Saldo IV = (I-II-III)</t>
  </si>
  <si>
    <t xml:space="preserve">III a - Percentual de utilização para capital</t>
  </si>
  <si>
    <t xml:space="preserve">III b - Percentual de utilização para PE</t>
  </si>
  <si>
    <t xml:space="preserve">Deliberação que aprova PE</t>
  </si>
  <si>
    <t xml:space="preserve">1. Justificativa do aumento da previsão orçamentaria de anuidades de exercicios anteriores - O CAU/PR está com uma expectativa de melhorar as receitas de exercícios anteriores de PF e PJ em cima do que foi informado nas diretrizes orçamentárias em virtude da Lei Federal 14.195/2021 e aumento da arrecação dessas receitas nos exercícios de 2020 e 2021. Portanto o CAU/PR pretende aumentar a arrecadação de anuidades de exercicios anteriores em 2022 através de uma nova sistemática de cobrança.
2. O valor correto no balanço é R$ 13.887.338,05, cfe já informado o Plan. CAU/BR.</t>
  </si>
  <si>
    <t xml:space="preserve">Orientação: As células em cinza estão vinculadas com fórmulas, não devem ser preenchidas.</t>
  </si>
  <si>
    <t xml:space="preserve">Anexo 2 - Limites de Aplicação dos Recursos Estratégicos - Programação 2022</t>
  </si>
  <si>
    <t xml:space="preserve">BASE DE CÁLCULO</t>
  </si>
  <si>
    <t xml:space="preserve">APLICAÇÕES DE RECURSOS</t>
  </si>
  <si>
    <t xml:space="preserve">Reprogramação
 2021</t>
  </si>
  <si>
    <t xml:space="preserve">Programação
 2022</t>
  </si>
  <si>
    <t xml:space="preserve">Variação (%)</t>
  </si>
  <si>
    <t xml:space="preserve">FOLHA DE PAGAMENTO </t>
  </si>
  <si>
    <t xml:space="preserve">1. Receita de Arrecadação Total </t>
  </si>
  <si>
    <t xml:space="preserve">A. Pessoal e Encargos (Valores totais)</t>
  </si>
  <si>
    <t xml:space="preserve">2. Recursos do fundo de apoio (CAU Básico)</t>
  </si>
  <si>
    <t xml:space="preserve">B. Valor total das rescisões contratuais, auxílio alimentação, auxílio transporte, plano de saúde e demais benefícios.</t>
  </si>
  <si>
    <t xml:space="preserve">3. Soma (1+2)</t>
  </si>
  <si>
    <t xml:space="preserve">C. Receitas Correntes</t>
  </si>
  <si>
    <t xml:space="preserve">4. Aportes ao Fundo de Apoio</t>
  </si>
  <si>
    <t xml:space="preserve">5.  Receita da Arrecadação Líquida (RAL = 3 - 4)</t>
  </si>
  <si>
    <t xml:space="preserve">BASE DE CÁLCULO </t>
  </si>
  <si>
    <t xml:space="preserve">LIMITES</t>
  </si>
  <si>
    <t xml:space="preserve">Variação</t>
  </si>
  <si>
    <t xml:space="preserve">Variação </t>
  </si>
  <si>
    <r>
      <rPr>
        <b val="true"/>
        <sz val="12"/>
        <color rgb="FF000000"/>
        <rFont val="Calibri"/>
        <family val="2"/>
        <charset val="1"/>
      </rPr>
      <t xml:space="preserve">Fiscalização
</t>
    </r>
    <r>
      <rPr>
        <b val="true"/>
        <sz val="12"/>
        <color rgb="FF006871"/>
        <rFont val="Calibri"/>
        <family val="2"/>
        <charset val="1"/>
      </rPr>
      <t xml:space="preserve">(mínimo de 15 % do total da RAL)  </t>
    </r>
    <r>
      <rPr>
        <b val="true"/>
        <sz val="12"/>
        <color rgb="FF009999"/>
        <rFont val="Calibri"/>
        <family val="2"/>
        <charset val="1"/>
      </rPr>
      <t xml:space="preserve">  </t>
    </r>
    <r>
      <rPr>
        <b val="true"/>
        <sz val="12"/>
        <color rgb="FF000000"/>
        <rFont val="Calibri"/>
        <family val="2"/>
        <charset val="1"/>
      </rPr>
      <t xml:space="preserve">                                                                     </t>
    </r>
  </si>
  <si>
    <t xml:space="preserve">Valor</t>
  </si>
  <si>
    <r>
      <rPr>
        <b val="true"/>
        <sz val="12"/>
        <color rgb="FF000000"/>
        <rFont val="Calibri"/>
        <family val="2"/>
        <charset val="1"/>
      </rPr>
      <t xml:space="preserve"> Despesas com Pessoal
</t>
    </r>
    <r>
      <rPr>
        <b val="true"/>
        <sz val="12"/>
        <color rgb="FF006871"/>
        <rFont val="Calibri"/>
        <family val="2"/>
        <charset val="1"/>
      </rPr>
      <t xml:space="preserve">(máximo de 55% sobre as Receitas Correntes)</t>
    </r>
  </si>
  <si>
    <t xml:space="preserve">% </t>
  </si>
  <si>
    <r>
      <rPr>
        <b val="true"/>
        <sz val="12"/>
        <color rgb="FF000000"/>
        <rFont val="Calibri"/>
        <family val="2"/>
        <charset val="1"/>
      </rPr>
      <t xml:space="preserve">Atendimento
</t>
    </r>
    <r>
      <rPr>
        <b val="true"/>
        <sz val="12"/>
        <color rgb="FF006871"/>
        <rFont val="Calibri"/>
        <family val="2"/>
        <charset val="1"/>
      </rPr>
      <t xml:space="preserve">(mínimo de 10 % do total da RAL)</t>
    </r>
  </si>
  <si>
    <r>
      <rPr>
        <b val="true"/>
        <sz val="12"/>
        <color rgb="FF000000"/>
        <rFont val="Calibri"/>
        <family val="2"/>
        <charset val="1"/>
      </rPr>
      <t xml:space="preserve">Capacitação</t>
    </r>
    <r>
      <rPr>
        <b val="true"/>
        <sz val="12"/>
        <color rgb="FFFF0000"/>
        <rFont val="Calibri"/>
        <family val="2"/>
        <charset val="1"/>
      </rPr>
      <t xml:space="preserve"> 
</t>
    </r>
    <r>
      <rPr>
        <b val="true"/>
        <sz val="12"/>
        <color rgb="FF006871"/>
        <rFont val="Calibri"/>
        <family val="2"/>
        <charset val="1"/>
      </rPr>
      <t xml:space="preserve">(mínimo de 2% e máximo de 4% da Folha de Pagamento)</t>
    </r>
    <r>
      <rPr>
        <b val="true"/>
        <sz val="12"/>
        <color rgb="FF2E75B6"/>
        <rFont val="Calibri"/>
        <family val="2"/>
        <charset val="1"/>
      </rPr>
      <t xml:space="preserve">  </t>
    </r>
    <r>
      <rPr>
        <b val="true"/>
        <sz val="12"/>
        <rFont val="Calibri"/>
        <family val="2"/>
        <charset val="1"/>
      </rPr>
      <t xml:space="preserve">      </t>
    </r>
    <r>
      <rPr>
        <b val="true"/>
        <sz val="12"/>
        <color rgb="FF0070C0"/>
        <rFont val="Calibri"/>
        <family val="2"/>
        <charset val="1"/>
      </rPr>
      <t xml:space="preserve"> </t>
    </r>
    <r>
      <rPr>
        <b val="true"/>
        <sz val="12"/>
        <color rgb="FF339966"/>
        <rFont val="Calibri"/>
        <family val="2"/>
        <charset val="1"/>
      </rPr>
      <t xml:space="preserve">         </t>
    </r>
  </si>
  <si>
    <r>
      <rPr>
        <b val="true"/>
        <sz val="12"/>
        <color rgb="FF000000"/>
        <rFont val="Calibri"/>
        <family val="2"/>
        <charset val="1"/>
      </rPr>
      <t xml:space="preserve">Comunicação
</t>
    </r>
    <r>
      <rPr>
        <b val="true"/>
        <sz val="12"/>
        <color rgb="FF006871"/>
        <rFont val="Calibri"/>
        <family val="2"/>
        <charset val="1"/>
      </rPr>
      <t xml:space="preserve">(mínimo de 3% do total da RAL)</t>
    </r>
    <r>
      <rPr>
        <b val="true"/>
        <sz val="12"/>
        <color rgb="FF0070C0"/>
        <rFont val="Calibri"/>
        <family val="2"/>
        <charset val="1"/>
      </rPr>
      <t xml:space="preserve">    </t>
    </r>
    <r>
      <rPr>
        <b val="true"/>
        <sz val="12"/>
        <color rgb="FF008080"/>
        <rFont val="Calibri"/>
        <family val="2"/>
        <charset val="1"/>
      </rPr>
      <t xml:space="preserve">         </t>
    </r>
    <r>
      <rPr>
        <b val="true"/>
        <sz val="12"/>
        <color rgb="FF339966"/>
        <rFont val="Calibri"/>
        <family val="2"/>
        <charset val="1"/>
      </rPr>
      <t xml:space="preserve">                                                                                </t>
    </r>
  </si>
  <si>
    <t xml:space="preserve">OBS 1:  Vedada a inobservância de aplicação dos percentuais:
Atendimento - mínimo de 10% da RAL
Fiscalização – mínimo de 15% da RAL
Despesa com pessoal – até 55% das receitas correntes
Comunicação - mínimo de 3% da RAL
Objetivos Locais - mínimo de 6% da RAL
Patrocínios - máximo de 5% da RAL
ATHIS - mínimo de 2% da RAL
Reserva de Contingência - até 2% da RAL</t>
  </si>
  <si>
    <t xml:space="preserve">OBS 2: Os órgãos deliberativos dos CAU/UF poderão, mediante as justificativas próprias, Flexibilizar a aplicação de recursos mínimos e máximos na Programação do Plano de Ação e Orçamento de 2022, nos seguintes itens de despesas:
Capacitação – mínimo de 2% e máximo de 4% da folha de pagamento.
Apresentar justificativa no campo abaixo.</t>
  </si>
  <si>
    <r>
      <rPr>
        <b val="true"/>
        <sz val="12"/>
        <color rgb="FF000000"/>
        <rFont val="Calibri"/>
        <family val="2"/>
        <charset val="1"/>
      </rPr>
      <t xml:space="preserve">Patrocínio
</t>
    </r>
    <r>
      <rPr>
        <b val="true"/>
        <sz val="12"/>
        <color rgb="FF006871"/>
        <rFont val="Calibri"/>
        <family val="2"/>
        <charset val="1"/>
      </rPr>
      <t xml:space="preserve">(máximo de 5% do total da RAL)</t>
    </r>
    <r>
      <rPr>
        <b val="true"/>
        <sz val="12"/>
        <color rgb="FF2E75B6"/>
        <rFont val="Calibri"/>
        <family val="2"/>
        <charset val="1"/>
      </rPr>
      <t xml:space="preserve">   </t>
    </r>
    <r>
      <rPr>
        <b val="true"/>
        <sz val="12"/>
        <color rgb="FFFF0000"/>
        <rFont val="Calibri"/>
        <family val="2"/>
        <charset val="1"/>
      </rPr>
      <t xml:space="preserve">      </t>
    </r>
    <r>
      <rPr>
        <b val="true"/>
        <sz val="12"/>
        <color rgb="FF000000"/>
        <rFont val="Calibri"/>
        <family val="2"/>
        <charset val="1"/>
      </rPr>
      <t xml:space="preserve">                                                                            </t>
    </r>
  </si>
  <si>
    <r>
      <rPr>
        <b val="true"/>
        <sz val="12"/>
        <color rgb="FF000000"/>
        <rFont val="Calibri"/>
        <family val="2"/>
        <charset val="1"/>
      </rPr>
      <t xml:space="preserve">Objetivos Estratégicos Locais
</t>
    </r>
    <r>
      <rPr>
        <b val="true"/>
        <sz val="12"/>
        <color rgb="FF006871"/>
        <rFont val="Calibri"/>
        <family val="2"/>
        <charset val="1"/>
      </rPr>
      <t xml:space="preserve">(mínimo de 6 % do total da RAL)</t>
    </r>
    <r>
      <rPr>
        <b val="true"/>
        <sz val="12"/>
        <color rgb="FF2E75B6"/>
        <rFont val="Calibri"/>
        <family val="2"/>
        <charset val="1"/>
      </rPr>
      <t xml:space="preserve"> </t>
    </r>
    <r>
      <rPr>
        <b val="true"/>
        <sz val="12"/>
        <color rgb="FF008080"/>
        <rFont val="Calibri"/>
        <family val="2"/>
        <charset val="1"/>
      </rPr>
      <t xml:space="preserve">                        </t>
    </r>
  </si>
  <si>
    <r>
      <rPr>
        <b val="true"/>
        <sz val="12"/>
        <color rgb="FF000000"/>
        <rFont val="Calibri"/>
        <family val="2"/>
        <charset val="1"/>
      </rPr>
      <t xml:space="preserve">Assistência Técnica
</t>
    </r>
    <r>
      <rPr>
        <b val="true"/>
        <sz val="12"/>
        <color rgb="FF006871"/>
        <rFont val="Calibri"/>
        <family val="2"/>
        <charset val="1"/>
      </rPr>
      <t xml:space="preserve">(mínimo de 2% do total da RAL) </t>
    </r>
    <r>
      <rPr>
        <b val="true"/>
        <sz val="12"/>
        <color rgb="FF000000"/>
        <rFont val="Calibri"/>
        <family val="2"/>
        <charset val="1"/>
      </rPr>
      <t xml:space="preserve">   </t>
    </r>
  </si>
  <si>
    <r>
      <rPr>
        <b val="true"/>
        <sz val="12"/>
        <color rgb="FF000000"/>
        <rFont val="Calibri"/>
        <family val="2"/>
        <charset val="1"/>
      </rPr>
      <t xml:space="preserve">Reserva de Contingência
</t>
    </r>
    <r>
      <rPr>
        <b val="true"/>
        <sz val="12"/>
        <color rgb="FF006871"/>
        <rFont val="Calibri"/>
        <family val="2"/>
        <charset val="1"/>
      </rPr>
      <t xml:space="preserve">(até 2 % do total da RAL)   </t>
    </r>
    <r>
      <rPr>
        <b val="true"/>
        <sz val="12"/>
        <color rgb="FF008080"/>
        <rFont val="Calibri"/>
        <family val="2"/>
        <charset val="1"/>
      </rPr>
      <t xml:space="preserve">           </t>
    </r>
  </si>
  <si>
    <t xml:space="preserve">JUSTIFICATIVA - quando da flexibilização da aplicação de recursos mínimos e máximos do limite estratégico de Capacitação do Plano de Ação e Orçamento de 2022.</t>
  </si>
  <si>
    <t xml:space="preserve">1. Detalhamento do campo B) da folha de pagamento: R$ 109.533,60 Vale Transporte; R$ 633.577,70 Vale Alimentação; R$ 312.926,31 Auxilio Plano de Saúde; R$ 57.781,14 Auxilio Creche; R$ 26.150,00 Auxilio Cultura; R$ 1.100,00 Abono Salarial; R$ 20.000,00 Auxilio Formação, totalizando R$ 1.161.068,75. 
2. Justificativa de flexibilização da Capacitação: Devido a incertezas do ambiente externo para  realização de cursos, treinamento e capacitação de pessoal optamos por flexibilizar a aplicação minima deste recurso com possiblidade de revisão nas reprogramações orçamentárias.
3. Limite de Fiscalização: Tem um valor de veículos de 150.000,00 que estamos retirando dos limites da fiscalização, conforme orientação do TCU.</t>
  </si>
  <si>
    <t xml:space="preserve">Orientação:  As células sinalizadas, em cinza, são fórmulas e não devem ser modificadas.</t>
  </si>
  <si>
    <t xml:space="preserve">Anexo 3- Aplicações por Projeto/Atividade - por Elemento de Despesa (Consolidado) - Programação 2022</t>
  </si>
  <si>
    <t xml:space="preserve">Denominação (Projeto/Atividade)</t>
  </si>
  <si>
    <t xml:space="preserve">Programação 2022</t>
  </si>
  <si>
    <t xml:space="preserve">Pessoal</t>
  </si>
  <si>
    <t xml:space="preserve">Material de Consumo</t>
  </si>
  <si>
    <t xml:space="preserve">Serviços de Terceiros</t>
  </si>
  <si>
    <t xml:space="preserve">Transferências Correntes</t>
  </si>
  <si>
    <t xml:space="preserve">Reserva de 
Contingência </t>
  </si>
  <si>
    <t xml:space="preserve">Encargos Diversos</t>
  </si>
  <si>
    <t xml:space="preserve">Soma</t>
  </si>
  <si>
    <t xml:space="preserve">Imobilizado</t>
  </si>
  <si>
    <t xml:space="preserve">% Part.</t>
  </si>
  <si>
    <t xml:space="preserve">nº</t>
  </si>
  <si>
    <t xml:space="preserve">Pessoal e Encargos</t>
  </si>
  <si>
    <t xml:space="preserve">Diárias</t>
  </si>
  <si>
    <t xml:space="preserve">Passagens</t>
  </si>
  <si>
    <t xml:space="preserve">Serviços Prestados</t>
  </si>
  <si>
    <t xml:space="preserve">P / A / PE</t>
  </si>
  <si>
    <t xml:space="preserve">Obj. Estratégico</t>
  </si>
  <si>
    <t xml:space="preserve">TOTAL GERAL</t>
  </si>
  <si>
    <t xml:space="preserve">Orientações de Preenchimento dos Elementos de Despesas:</t>
  </si>
  <si>
    <r>
      <rPr>
        <sz val="12"/>
        <color rgb="FF000000"/>
        <rFont val="Arial"/>
        <family val="2"/>
        <charset val="1"/>
      </rPr>
      <t xml:space="preserve">Os itens de custo devem ser:
•</t>
    </r>
    <r>
      <rPr>
        <b val="true"/>
        <sz val="12"/>
        <color rgb="FF000000"/>
        <rFont val="Arial"/>
        <family val="2"/>
        <charset val="1"/>
      </rPr>
      <t xml:space="preserve"> Pessoal (Salários, Encargos e Benefícios) 
</t>
    </r>
    <r>
      <rPr>
        <sz val="12"/>
        <color rgb="FF000000"/>
        <rFont val="Arial"/>
        <family val="2"/>
        <charset val="1"/>
      </rPr>
      <t xml:space="preserve">a) Pessoal e Encargos:  compreende salários; gratificações; 13º salário; férias; 1/3 férias, abono e horas extras; INSS; FGTS e PIS; vale transporte, auxílio alimentação, plano de saúde e outros benefícios.
b) Diárias – compreende diárias de funcionários com vínculo empregatício com o Conselho.
</t>
    </r>
    <r>
      <rPr>
        <b val="true"/>
        <sz val="12"/>
        <color rgb="FF000000"/>
        <rFont val="Arial"/>
        <family val="2"/>
        <charset val="1"/>
      </rPr>
      <t xml:space="preserve">• Material de Consumo</t>
    </r>
    <r>
      <rPr>
        <sz val="12"/>
        <color rgb="FF000000"/>
        <rFont val="Arial"/>
        <family val="2"/>
        <charset val="1"/>
      </rPr>
      <t xml:space="preserve"> – compreende material de expediente; informática; e outros materiais de consumo que não sejam classificados como material permanente. 
</t>
    </r>
    <r>
      <rPr>
        <b val="true"/>
        <sz val="12"/>
        <color rgb="FF000000"/>
        <rFont val="Arial"/>
        <family val="2"/>
        <charset val="1"/>
      </rPr>
      <t xml:space="preserve">• Serviços de Terceiros: 
</t>
    </r>
    <r>
      <rPr>
        <sz val="12"/>
        <color rgb="FF000000"/>
        <rFont val="Arial"/>
        <family val="2"/>
        <charset val="1"/>
      </rPr>
      <t xml:space="preserve">a) Diárias – compreende diárias do presidente, de conselheiros e de convidados.
b) Passagens – compreende passagens de funcionários, presidente, conselheiros, e convidados.
c) Serviços Prestados (PF e PJ) – compreende todo serviço prestado por pessoa jurídica como: consultorias; serviços de comunicação e divulgação; manutenção de sistemas informatizados; locação de bens móveis e imóveis, condomínios, reparos e conservação de bens móveis e imóveis; serviços de água e energia elétrica; correios; telecomunicações e outras despesas correntes não classificáveis nos itens anteriores e  remunerações de serviços prestados por pessoa física; remuneração de estagiários, e remuneração de menores aprendizes.
</t>
    </r>
    <r>
      <rPr>
        <b val="true"/>
        <sz val="12"/>
        <color rgb="FF000000"/>
        <rFont val="Arial"/>
        <family val="2"/>
        <charset val="1"/>
      </rPr>
      <t xml:space="preserve">. Transferências Correntes</t>
    </r>
    <r>
      <rPr>
        <sz val="12"/>
        <color rgb="FF000000"/>
        <rFont val="Arial"/>
        <family val="2"/>
        <charset val="1"/>
      </rPr>
      <t xml:space="preserve">: compreende os repasses ao Fundo de Apoio; os repasses ao Centro de Serviço Compartilhado - CSC; convênios, acordos, ajuda as entidades e patrocínios.
</t>
    </r>
    <r>
      <rPr>
        <b val="true"/>
        <sz val="12"/>
        <color rgb="FF000000"/>
        <rFont val="Arial"/>
        <family val="2"/>
        <charset val="1"/>
      </rPr>
      <t xml:space="preserve">. Reserva de Contingência: </t>
    </r>
    <r>
      <rPr>
        <sz val="12"/>
        <color rgb="FF000000"/>
        <rFont val="Arial"/>
        <family val="2"/>
        <charset val="1"/>
      </rPr>
      <t xml:space="preserve">compreende as despesas não previstas no plano de ação.
</t>
    </r>
    <r>
      <rPr>
        <b val="true"/>
        <sz val="12"/>
        <color rgb="FF000000"/>
        <rFont val="Arial"/>
        <family val="2"/>
        <charset val="1"/>
      </rPr>
      <t xml:space="preserve">. Encargos Diversos –</t>
    </r>
    <r>
      <rPr>
        <sz val="12"/>
        <color rgb="FF000000"/>
        <rFont val="Arial"/>
        <family val="2"/>
        <charset val="1"/>
      </rPr>
      <t xml:space="preserve"> compreende as taxas bancárias; impostos e taxas diversas; despesas judiciais; e outros encargos.
</t>
    </r>
    <r>
      <rPr>
        <b val="true"/>
        <sz val="12"/>
        <color rgb="FF000000"/>
        <rFont val="Arial"/>
        <family val="2"/>
        <charset val="1"/>
      </rPr>
      <t xml:space="preserve">. Imobilizado </t>
    </r>
    <r>
      <rPr>
        <sz val="12"/>
        <color rgb="FF000000"/>
        <rFont val="Arial"/>
        <family val="2"/>
        <charset val="1"/>
      </rPr>
      <t xml:space="preserve">– compreende os investimentos como: aquisição de equipamentos e materiais permanentes; aquisição de imóveis; e outros investimentos.</t>
    </r>
  </si>
  <si>
    <t xml:space="preserve">01 - Erradicação da pobreza</t>
  </si>
  <si>
    <t xml:space="preserve">Não se aplica</t>
  </si>
  <si>
    <t xml:space="preserve">AC</t>
  </si>
  <si>
    <t xml:space="preserve">02 - Fome zero e agricultura sustentável</t>
  </si>
  <si>
    <t xml:space="preserve">Atendimento Eletrônico</t>
  </si>
  <si>
    <t xml:space="preserve">AL</t>
  </si>
  <si>
    <t xml:space="preserve">03 - Saúde e bem-estar</t>
  </si>
  <si>
    <t xml:space="preserve">Auto-Atendimento</t>
  </si>
  <si>
    <t xml:space="preserve">AM</t>
  </si>
  <si>
    <t xml:space="preserve">04 - Educação de qualidade</t>
  </si>
  <si>
    <t xml:space="preserve">Serviços de Terceiros- Diárias</t>
  </si>
  <si>
    <t xml:space="preserve">Qualificação dos Canais de Atendimento</t>
  </si>
  <si>
    <t xml:space="preserve">P.</t>
  </si>
  <si>
    <t xml:space="preserve">AP</t>
  </si>
  <si>
    <t xml:space="preserve">05 - Igualdade de gênero</t>
  </si>
  <si>
    <t xml:space="preserve">Serviços de Terceiros- Passagens</t>
  </si>
  <si>
    <t xml:space="preserve">Ações Locais em Mídia</t>
  </si>
  <si>
    <t xml:space="preserve">A.</t>
  </si>
  <si>
    <t xml:space="preserve">BA</t>
  </si>
  <si>
    <t xml:space="preserve">06 - Água limpa e saneamento</t>
  </si>
  <si>
    <t xml:space="preserve">Serviços de Terceiros- Serviços Prestados</t>
  </si>
  <si>
    <t xml:space="preserve">Ações Nacionais em Mídia</t>
  </si>
  <si>
    <t xml:space="preserve">PE.</t>
  </si>
  <si>
    <t xml:space="preserve">CE</t>
  </si>
  <si>
    <t xml:space="preserve">07 - Energia limpa e acessível </t>
  </si>
  <si>
    <t xml:space="preserve">Serviços de Terceiros- Aluguéis e Encargos</t>
  </si>
  <si>
    <t xml:space="preserve">Atualização do Portal da Transparência</t>
  </si>
  <si>
    <t xml:space="preserve">DF</t>
  </si>
  <si>
    <t xml:space="preserve">08 - Trabalho decente e crescimento econômico</t>
  </si>
  <si>
    <t xml:space="preserve">Representação em Instâncias Públicas</t>
  </si>
  <si>
    <t xml:space="preserve">ES</t>
  </si>
  <si>
    <t xml:space="preserve">09 - Inovação infraestrutura</t>
  </si>
  <si>
    <t xml:space="preserve">Reserva de Contingência </t>
  </si>
  <si>
    <t xml:space="preserve">Câmaras Temáticas</t>
  </si>
  <si>
    <t xml:space="preserve">GO</t>
  </si>
  <si>
    <t xml:space="preserve">10 - Redução das desigualdades</t>
  </si>
  <si>
    <t xml:space="preserve">Editais de Patrocínio</t>
  </si>
  <si>
    <t xml:space="preserve">MA</t>
  </si>
  <si>
    <t xml:space="preserve">11 - Cidades e comunidades sustentáveis</t>
  </si>
  <si>
    <t xml:space="preserve">Capacitação em ATHIS</t>
  </si>
  <si>
    <t xml:space="preserve">MG</t>
  </si>
  <si>
    <t xml:space="preserve">12 - Consumo e produção responsáveis</t>
  </si>
  <si>
    <t xml:space="preserve">Cooperação Técnica para ATHIS</t>
  </si>
  <si>
    <t xml:space="preserve">MS</t>
  </si>
  <si>
    <t xml:space="preserve">13 - Ação contra a mudança global do clima</t>
  </si>
  <si>
    <t xml:space="preserve">Ações de Melhoria da Qualidade do Ensino</t>
  </si>
  <si>
    <t xml:space="preserve">MT</t>
  </si>
  <si>
    <t xml:space="preserve">14 - Vida na água</t>
  </si>
  <si>
    <t xml:space="preserve">CAU nas Escolas</t>
  </si>
  <si>
    <t xml:space="preserve">PA</t>
  </si>
  <si>
    <t xml:space="preserve">15 - Vida terrestre</t>
  </si>
  <si>
    <t xml:space="preserve">Audiências de Conciliação</t>
  </si>
  <si>
    <t xml:space="preserve">PB</t>
  </si>
  <si>
    <t xml:space="preserve">16 - Paz, justiça e instituições eficazes</t>
  </si>
  <si>
    <t xml:space="preserve">Melhoria de Processo Ético</t>
  </si>
  <si>
    <t xml:space="preserve">Valorizar a Arquitetura e Urbanismo</t>
  </si>
  <si>
    <t xml:space="preserve">17 - Parcerias e meios de implementação</t>
  </si>
  <si>
    <t xml:space="preserve">Palestras e campanhas sobre Aspectos Éticos</t>
  </si>
  <si>
    <t xml:space="preserve">PI</t>
  </si>
  <si>
    <t xml:space="preserve">Cooperação Técnica para Fiscalização</t>
  </si>
  <si>
    <t xml:space="preserve">Plataforma de Georreferenciamento</t>
  </si>
  <si>
    <t xml:space="preserve">RJ</t>
  </si>
  <si>
    <t xml:space="preserve">Fiscalização Orientativa</t>
  </si>
  <si>
    <t xml:space="preserve">RN</t>
  </si>
  <si>
    <t xml:space="preserve">Fiscalização em Obras</t>
  </si>
  <si>
    <t xml:space="preserve">RO</t>
  </si>
  <si>
    <t xml:space="preserve">RR</t>
  </si>
  <si>
    <t xml:space="preserve">RS</t>
  </si>
  <si>
    <t xml:space="preserve">SC</t>
  </si>
  <si>
    <t xml:space="preserve">SE</t>
  </si>
  <si>
    <t xml:space="preserve">SP</t>
  </si>
  <si>
    <t xml:space="preserve">TO</t>
  </si>
  <si>
    <t xml:space="preserve">-</t>
  </si>
  <si>
    <t xml:space="preserve">gerplan2022</t>
  </si>
  <si>
    <t xml:space="preserve">UF</t>
  </si>
  <si>
    <t xml:space="preserve">Fundo de Apoio</t>
  </si>
  <si>
    <t xml:space="preserve">CSC</t>
  </si>
  <si>
    <t xml:space="preserve">SISCAF</t>
  </si>
  <si>
    <t xml:space="preserve">Ressarcimento</t>
  </si>
  <si>
    <t xml:space="preserve">Informações para os Indicadores</t>
  </si>
  <si>
    <t xml:space="preserve">PF</t>
  </si>
  <si>
    <t xml:space="preserve">PJ</t>
  </si>
  <si>
    <t xml:space="preserve">RRT</t>
  </si>
  <si>
    <t xml:space="preserve">Taxas</t>
  </si>
  <si>
    <t xml:space="preserve">Reprogramação 
2022</t>
  </si>
  <si>
    <t xml:space="preserve">Encontro de Contas</t>
  </si>
  <si>
    <t xml:space="preserve">Superávit financiero
apurado em 2020</t>
  </si>
  <si>
    <t xml:space="preserve">População estimada 2021</t>
  </si>
  <si>
    <t xml:space="preserve">Fontes de Receitas Correntes (80%)</t>
  </si>
  <si>
    <t xml:space="preserve">Demais valores a checar</t>
  </si>
  <si>
    <t xml:space="preserve">Exercício</t>
  </si>
  <si>
    <t xml:space="preserve">Exercícios Anteriores</t>
  </si>
  <si>
    <t xml:space="preserve">Reprogramação</t>
  </si>
  <si>
    <t xml:space="preserve">Aporte ao
Fundo de Apoio</t>
  </si>
  <si>
    <t xml:space="preserve">Utilização com Plenárias Ampliadas</t>
  </si>
  <si>
    <t xml:space="preserve">Repasse do Fundo de Apoio</t>
  </si>
  <si>
    <t xml:space="preserve">Fiscalização</t>
  </si>
  <si>
    <t xml:space="preserve">Atendimento</t>
  </si>
  <si>
    <t xml:space="preserve">Manutenção</t>
  </si>
  <si>
    <t xml:space="preserve">Taxas Bancárias
(Outras Receitas)</t>
  </si>
  <si>
    <t xml:space="preserve">Ativos</t>
  </si>
  <si>
    <t xml:space="preserve">Potencial Pagantes</t>
  </si>
  <si>
    <t xml:space="preserve">Inadimplência</t>
  </si>
  <si>
    <t xml:space="preserve">Quantitativo</t>
  </si>
  <si>
    <t xml:space="preserve">CSC - SISCAF</t>
  </si>
  <si>
    <t xml:space="preserve">Fundo de Apoio - APORTE</t>
  </si>
  <si>
    <t xml:space="preserve">Fundo de Apoio - Plenárias Ampliadas</t>
  </si>
  <si>
    <t xml:space="preserve">Superávit Financeiro 2020</t>
  </si>
  <si>
    <t xml:space="preserve">1.1.3 Taxas e Multas</t>
  </si>
  <si>
    <t xml:space="preserve">Quantidades e Inadimplência</t>
  </si>
  <si>
    <t xml:space="preserve">PF - Ativos</t>
  </si>
  <si>
    <t xml:space="preserve">PF - Potencial Pagantes</t>
  </si>
  <si>
    <t xml:space="preserve">PF - Inadimplência</t>
  </si>
  <si>
    <t xml:space="preserve">PJ - Quantidade</t>
  </si>
  <si>
    <t xml:space="preserve">PJ - Inadimplência</t>
  </si>
  <si>
    <t xml:space="preserve">RRT - Quantidade</t>
  </si>
  <si>
    <t xml:space="preserve">Dados Geográficos</t>
  </si>
  <si>
    <t xml:space="preserve">População - 2021</t>
  </si>
  <si>
    <t xml:space="preserve">nº da coluna</t>
  </si>
  <si>
    <t xml:space="preserve">Perspectivas</t>
  </si>
  <si>
    <t xml:space="preserve">Projetos/Objetivos Estratégicos</t>
  </si>
  <si>
    <t xml:space="preserve">Projeto</t>
  </si>
  <si>
    <t xml:space="preserve">Projeto Específico</t>
  </si>
  <si>
    <t xml:space="preserve">Atividade</t>
  </si>
  <si>
    <t xml:space="preserve">Total Iniciativas</t>
  </si>
  <si>
    <t xml:space="preserve">Part. %</t>
  </si>
  <si>
    <t xml:space="preserve">Objetivos Locais</t>
  </si>
  <si>
    <t xml:space="preserve">Qde.</t>
  </si>
  <si>
    <t xml:space="preserve">selecione abaixo</t>
  </si>
  <si>
    <t xml:space="preserve">Sociedade</t>
  </si>
  <si>
    <t xml:space="preserve">Processos Internos</t>
  </si>
  <si>
    <t xml:space="preserve">Pessoas e Infraestrutura</t>
  </si>
</sst>
</file>

<file path=xl/styles.xml><?xml version="1.0" encoding="utf-8"?>
<styleSheet xmlns="http://schemas.openxmlformats.org/spreadsheetml/2006/main">
  <numFmts count="27">
    <numFmt numFmtId="164" formatCode="General"/>
    <numFmt numFmtId="165" formatCode="_-&quot;R$ &quot;* #,##0.00_-;&quot;-R$ &quot;* #,##0.00_-;_-&quot;R$ &quot;* \-??_-;_-@_-"/>
    <numFmt numFmtId="166" formatCode="_-&quot;R$ &quot;* #,##0.00_-;&quot;-R$ &quot;* #,##0.00_-;_-&quot;R$ &quot;* \-??_-;_-@_-"/>
    <numFmt numFmtId="167" formatCode="0%"/>
    <numFmt numFmtId="168" formatCode="_-&quot;R$ &quot;* #,##0_-;&quot;-R$ &quot;* #,##0_-;_-&quot;R$ &quot;* \-??_-;_-@_-"/>
    <numFmt numFmtId="169" formatCode="_-* #,##0.00_-;\-* #,##0.00_-;_-* \-??_-;_-@_-"/>
    <numFmt numFmtId="170" formatCode="_-* #,##0.00_-;\-* #,##0.00_-;_-* \-??_-;_-@_-"/>
    <numFmt numFmtId="171" formatCode="_(* #,##0.00_);_(* \(#,##0.00\);_(* \-??_);_(@_)"/>
    <numFmt numFmtId="172" formatCode="0.0%"/>
    <numFmt numFmtId="173" formatCode="#,##0.00"/>
    <numFmt numFmtId="174" formatCode="0.00"/>
    <numFmt numFmtId="175" formatCode="&quot;R$&quot;#,##0.00"/>
    <numFmt numFmtId="176" formatCode="0"/>
    <numFmt numFmtId="177" formatCode="0.00%"/>
    <numFmt numFmtId="178" formatCode="_(* #,##0.00_);_(* \(#,##0.00\);_(* \-??_);_(@_)"/>
    <numFmt numFmtId="179" formatCode="#,##0"/>
    <numFmt numFmtId="180" formatCode="General"/>
    <numFmt numFmtId="181" formatCode="_(* #,##0.0_);_(* \(#,##0.0\);_(* \-??_);_(@_)"/>
    <numFmt numFmtId="182" formatCode="_-* #,##0.0_-;\-* #,##0.0_-;_-* \-?_-;_-@_-"/>
    <numFmt numFmtId="183" formatCode="_-* #,##0_-;\-* #,##0_-;_-* \-_-;_-@_-"/>
    <numFmt numFmtId="184" formatCode="0.0"/>
    <numFmt numFmtId="185" formatCode="#,##0.00_ ;\-#,##0.00\ "/>
    <numFmt numFmtId="186" formatCode="_-* #,##0_-;\-* #,##0_-;_-* \-??_-;_-@_-"/>
    <numFmt numFmtId="187" formatCode="#,##0_);\(#,##0\)"/>
    <numFmt numFmtId="188" formatCode="_(* #,##0_);_(* \(#,##0\);_(* \-??_);_(@_)"/>
    <numFmt numFmtId="189" formatCode="@"/>
    <numFmt numFmtId="190" formatCode="#,##0.0_ ;\-#,##0.0\ "/>
  </numFmts>
  <fonts count="5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 val="true"/>
      <sz val="12"/>
      <name val="Calibri"/>
      <family val="2"/>
      <charset val="1"/>
    </font>
    <font>
      <sz val="11"/>
      <color rgb="FFFFFFFF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000000"/>
      <name val="Calibri"/>
      <family val="0"/>
    </font>
    <font>
      <b val="true"/>
      <sz val="12"/>
      <color rgb="FF000000"/>
      <name val="Calibri"/>
      <family val="0"/>
    </font>
    <font>
      <sz val="18"/>
      <color rgb="FF000000"/>
      <name val="Calibri"/>
      <family val="2"/>
      <charset val="1"/>
    </font>
    <font>
      <b val="true"/>
      <sz val="20"/>
      <color rgb="FFFFFFFF"/>
      <name val="Calibri"/>
      <family val="2"/>
      <charset val="1"/>
    </font>
    <font>
      <sz val="24"/>
      <color rgb="FF000000"/>
      <name val="Calibri"/>
      <family val="2"/>
      <charset val="1"/>
    </font>
    <font>
      <b val="true"/>
      <sz val="28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9"/>
      <color rgb="FF000000"/>
      <name val="Segoe UI"/>
      <family val="2"/>
      <charset val="1"/>
    </font>
    <font>
      <sz val="9"/>
      <color rgb="FF000000"/>
      <name val="Segoe UI"/>
      <family val="0"/>
      <charset val="1"/>
    </font>
    <font>
      <sz val="20"/>
      <color rgb="FF000000"/>
      <name val="Calibri"/>
      <family val="2"/>
      <charset val="1"/>
    </font>
    <font>
      <sz val="12"/>
      <color rgb="FF7F7F7F"/>
      <name val="Calibri"/>
      <family val="2"/>
      <charset val="1"/>
    </font>
    <font>
      <sz val="20"/>
      <name val="Calibri"/>
      <family val="2"/>
      <charset val="1"/>
    </font>
    <font>
      <b val="true"/>
      <sz val="16"/>
      <color rgb="FF000000"/>
      <name val="Tahoma"/>
      <family val="2"/>
      <charset val="1"/>
    </font>
    <font>
      <b val="true"/>
      <sz val="14"/>
      <color rgb="FF000000"/>
      <name val="Calibri Light"/>
      <family val="2"/>
      <charset val="1"/>
    </font>
    <font>
      <b val="true"/>
      <sz val="13"/>
      <color rgb="FF000000"/>
      <name val="Tahoma"/>
      <family val="2"/>
      <charset val="1"/>
    </font>
    <font>
      <sz val="12"/>
      <color rgb="FF000000"/>
      <name val="Segoe UI"/>
      <family val="2"/>
      <charset val="1"/>
    </font>
    <font>
      <sz val="14"/>
      <color rgb="FF000000"/>
      <name val="Segoe UI"/>
      <family val="2"/>
      <charset val="1"/>
    </font>
    <font>
      <b val="true"/>
      <sz val="14"/>
      <color rgb="FF000000"/>
      <name val="Tahoma"/>
      <family val="2"/>
      <charset val="1"/>
    </font>
    <font>
      <sz val="12"/>
      <color rgb="FF000000"/>
      <name val="Tahoma"/>
      <family val="2"/>
      <charset val="1"/>
    </font>
    <font>
      <b val="true"/>
      <sz val="12"/>
      <color rgb="FF000000"/>
      <name val="Tahoma"/>
      <family val="2"/>
      <charset val="1"/>
    </font>
    <font>
      <b val="true"/>
      <sz val="12"/>
      <color rgb="FFFF0000"/>
      <name val="Calibri"/>
      <family val="2"/>
      <charset val="1"/>
    </font>
    <font>
      <sz val="12"/>
      <color rgb="FFAFABAB"/>
      <name val="Calibri"/>
      <family val="2"/>
      <charset val="1"/>
    </font>
    <font>
      <b val="true"/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 val="true"/>
      <sz val="9"/>
      <color rgb="FF000000"/>
      <name val="Segoe UI"/>
      <family val="2"/>
      <charset val="1"/>
    </font>
    <font>
      <b val="true"/>
      <sz val="12"/>
      <color rgb="FF006871"/>
      <name val="Calibri"/>
      <family val="2"/>
      <charset val="1"/>
    </font>
    <font>
      <b val="true"/>
      <sz val="12"/>
      <color rgb="FF009999"/>
      <name val="Calibri"/>
      <family val="2"/>
      <charset val="1"/>
    </font>
    <font>
      <b val="true"/>
      <sz val="12"/>
      <color rgb="FF2E75B6"/>
      <name val="Calibri"/>
      <family val="2"/>
      <charset val="1"/>
    </font>
    <font>
      <b val="true"/>
      <sz val="12"/>
      <color rgb="FF0070C0"/>
      <name val="Calibri"/>
      <family val="2"/>
      <charset val="1"/>
    </font>
    <font>
      <b val="true"/>
      <sz val="12"/>
      <color rgb="FF339966"/>
      <name val="Calibri"/>
      <family val="2"/>
      <charset val="1"/>
    </font>
    <font>
      <b val="true"/>
      <sz val="12"/>
      <color rgb="FF008080"/>
      <name val="Calibri"/>
      <family val="2"/>
      <charset val="1"/>
    </font>
    <font>
      <sz val="11"/>
      <color rgb="FF000000"/>
      <name val="Tahoma"/>
      <family val="2"/>
      <charset val="1"/>
    </font>
    <font>
      <b val="true"/>
      <sz val="9"/>
      <color rgb="FF000000"/>
      <name val="Tahoma"/>
      <family val="2"/>
      <charset val="1"/>
    </font>
    <font>
      <sz val="11"/>
      <color rgb="FF006100"/>
      <name val="Calibri"/>
      <family val="2"/>
      <charset val="1"/>
    </font>
    <font>
      <sz val="11"/>
      <color rgb="FF9C6500"/>
      <name val="Calibri"/>
      <family val="2"/>
      <charset val="1"/>
    </font>
    <font>
      <sz val="12"/>
      <color rgb="FF006100"/>
      <name val="Calibri"/>
      <family val="2"/>
      <charset val="1"/>
    </font>
    <font>
      <b val="true"/>
      <sz val="12"/>
      <color rgb="FFFFFFFF"/>
      <name val="Arial Narrow"/>
      <family val="2"/>
      <charset val="1"/>
    </font>
    <font>
      <sz val="12"/>
      <color rgb="FF000000"/>
      <name val="Arial Narrow"/>
      <family val="2"/>
      <charset val="1"/>
    </font>
    <font>
      <sz val="20"/>
      <color rgb="FF000000"/>
      <name val="Arial Narrow"/>
      <family val="2"/>
      <charset val="1"/>
    </font>
    <font>
      <sz val="12"/>
      <color rgb="FFFFFFFF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FFFFFF"/>
      <name val="Calibri"/>
      <family val="2"/>
      <charset val="1"/>
    </font>
    <font>
      <sz val="11"/>
      <name val="Calibri"/>
      <family val="2"/>
      <charset val="1"/>
    </font>
    <font>
      <b val="true"/>
      <strike val="true"/>
      <sz val="12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8"/>
      <color rgb="FF000000"/>
      <name val="Arial"/>
      <family val="2"/>
      <charset val="1"/>
    </font>
    <font>
      <sz val="12"/>
      <color rgb="FFFF0000"/>
      <name val="Arial"/>
      <family val="2"/>
      <charset val="1"/>
    </font>
  </fonts>
  <fills count="22">
    <fill>
      <patternFill patternType="none"/>
    </fill>
    <fill>
      <patternFill patternType="gray125"/>
    </fill>
    <fill>
      <patternFill patternType="solid">
        <fgColor rgb="FFC6EFCE"/>
        <bgColor rgb="FFC5E0B4"/>
      </patternFill>
    </fill>
    <fill>
      <patternFill patternType="solid">
        <fgColor rgb="FFFFEB9C"/>
        <bgColor rgb="FFFFFADE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ADE"/>
      </patternFill>
    </fill>
    <fill>
      <patternFill patternType="solid">
        <fgColor rgb="FF2A5664"/>
        <bgColor rgb="FF20414B"/>
      </patternFill>
    </fill>
    <fill>
      <patternFill patternType="solid">
        <fgColor rgb="FFD9D9D9"/>
        <bgColor rgb="FFBDD7EE"/>
      </patternFill>
    </fill>
    <fill>
      <patternFill patternType="solid">
        <fgColor rgb="FFF2F2F2"/>
        <bgColor rgb="FFE4F0F0"/>
      </patternFill>
    </fill>
    <fill>
      <patternFill patternType="solid">
        <fgColor rgb="FF20414B"/>
        <bgColor rgb="FF404040"/>
      </patternFill>
    </fill>
    <fill>
      <patternFill patternType="solid">
        <fgColor rgb="FFE4F0F0"/>
        <bgColor rgb="FFF2F2F2"/>
      </patternFill>
    </fill>
    <fill>
      <patternFill patternType="solid">
        <fgColor rgb="FFFFFADE"/>
        <bgColor rgb="FFF2F2F2"/>
      </patternFill>
    </fill>
    <fill>
      <patternFill patternType="solid">
        <fgColor rgb="FFBFBFBF"/>
        <bgColor rgb="FFAFABAB"/>
      </patternFill>
    </fill>
    <fill>
      <patternFill patternType="solid">
        <fgColor rgb="FFC5E0B4"/>
        <bgColor rgb="FFC6EFCE"/>
      </patternFill>
    </fill>
    <fill>
      <patternFill patternType="solid">
        <fgColor rgb="FF006666"/>
        <bgColor rgb="FF006871"/>
      </patternFill>
    </fill>
    <fill>
      <patternFill patternType="solid">
        <fgColor rgb="FF548235"/>
        <bgColor rgb="FF339966"/>
      </patternFill>
    </fill>
    <fill>
      <patternFill patternType="solid">
        <fgColor rgb="FF404040"/>
        <bgColor rgb="FF20414B"/>
      </patternFill>
    </fill>
    <fill>
      <patternFill patternType="solid">
        <fgColor rgb="FF808080"/>
        <bgColor rgb="FF7F7F7F"/>
      </patternFill>
    </fill>
    <fill>
      <patternFill patternType="solid">
        <fgColor rgb="FFA6A6A6"/>
        <bgColor rgb="FFAFABAB"/>
      </patternFill>
    </fill>
    <fill>
      <patternFill patternType="solid">
        <fgColor rgb="FFBDD7EE"/>
        <bgColor rgb="FFD9D9D9"/>
      </patternFill>
    </fill>
    <fill>
      <patternFill patternType="solid">
        <fgColor rgb="FF94BAC3"/>
        <bgColor rgb="FFAFABAB"/>
      </patternFill>
    </fill>
    <fill>
      <patternFill patternType="solid">
        <fgColor rgb="FF528693"/>
        <bgColor rgb="FF7F7F7F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>
        <color rgb="FF7F7F7F"/>
      </right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 diagonalUp="false" diagonalDown="false">
      <left/>
      <right/>
      <top style="medium">
        <color rgb="FFFFFFFF"/>
      </top>
      <bottom style="medium">
        <color rgb="FFFFFFFF"/>
      </bottom>
      <diagonal/>
    </border>
    <border diagonalUp="false" diagonalDown="false"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 diagonalUp="false" diagonalDown="false"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4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3" fillId="2" borderId="0" applyFont="true" applyBorder="false" applyAlignment="true" applyProtection="false">
      <alignment horizontal="general" vertical="bottom" textRotation="0" wrapText="false" indent="0" shrinkToFit="false"/>
    </xf>
    <xf numFmtId="164" fontId="44" fillId="3" borderId="0" applyFont="true" applyBorder="false" applyAlignment="true" applyProtection="false">
      <alignment horizontal="general" vertical="bottom" textRotation="0" wrapText="false" indent="0" shrinkToFit="false"/>
    </xf>
  </cellStyleXfs>
  <cellXfs count="3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5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5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4" fillId="5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5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12" fillId="5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3" fillId="6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6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5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4" fillId="5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14" fillId="4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15" fillId="4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6" borderId="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5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6" borderId="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8" fillId="6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6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6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9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0" borderId="1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5" fillId="0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5" fillId="0" borderId="2" xfId="1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5" fillId="0" borderId="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5" fillId="5" borderId="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8" fillId="5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5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5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8" fillId="6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8" fillId="6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0" borderId="1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72" fontId="4" fillId="5" borderId="2" xfId="1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1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0" borderId="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73" fontId="4" fillId="5" borderId="12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4" fillId="5" borderId="2" xfId="1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4" fontId="5" fillId="5" borderId="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72" fontId="5" fillId="5" borderId="2" xfId="1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5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5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5" borderId="1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5" fillId="5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5" borderId="1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5" borderId="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75" fontId="5" fillId="0" borderId="2" xfId="1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5" fontId="5" fillId="5" borderId="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5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5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5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5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5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6" fontId="5" fillId="5" borderId="2" xfId="1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6" fontId="5" fillId="5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6" fontId="5" fillId="5" borderId="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7" fontId="5" fillId="0" borderId="2" xfId="1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7" fontId="5" fillId="5" borderId="2" xfId="1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9" fontId="5" fillId="5" borderId="2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9" fontId="4" fillId="5" borderId="2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6" fontId="5" fillId="5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6" fontId="5" fillId="5" borderId="2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5" borderId="2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5" borderId="12" xfId="22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5" fillId="5" borderId="12" xfId="22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74" fontId="5" fillId="0" borderId="2" xfId="1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4" fontId="5" fillId="5" borderId="2" xfId="1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5" fontId="4" fillId="5" borderId="2" xfId="1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9" fontId="5" fillId="5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8" fillId="6" borderId="1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3" fontId="4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19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6" fillId="4" borderId="1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4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80" fontId="8" fillId="6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4" fillId="5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19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6" fillId="5" borderId="0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73" fontId="6" fillId="5" borderId="0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9" fillId="5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8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8" fontId="8" fillId="6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6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6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8" fillId="6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4" fillId="5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4" fillId="5" borderId="1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5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3" fontId="4" fillId="5" borderId="2" xfId="1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8" fontId="4" fillId="5" borderId="2" xfId="1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8" fontId="4" fillId="7" borderId="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81" fontId="4" fillId="7" borderId="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8" fontId="4" fillId="5" borderId="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9" fontId="4" fillId="5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81" fontId="4" fillId="5" borderId="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3" fontId="4" fillId="5" borderId="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6" borderId="16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3" fontId="8" fillId="6" borderId="17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8" fontId="8" fillId="6" borderId="17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16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80" fontId="16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8" fontId="16" fillId="8" borderId="0" xfId="15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8" fillId="6" borderId="19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1" fillId="6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4" fillId="8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8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8" fontId="4" fillId="0" borderId="0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82" fontId="4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78" fontId="5" fillId="0" borderId="0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14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78" fontId="5" fillId="0" borderId="0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0" fillId="5" borderId="2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6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6" fillId="5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83" fontId="8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84" fontId="8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83" fontId="6" fillId="9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84" fontId="6" fillId="9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7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8" fontId="16" fillId="7" borderId="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81" fontId="16" fillId="7" borderId="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78" fontId="5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7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80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9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78" fontId="4" fillId="5" borderId="2" xfId="1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6" fillId="5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8" fontId="16" fillId="5" borderId="2" xfId="1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8" fontId="16" fillId="5" borderId="2" xfId="1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8" fontId="6" fillId="9" borderId="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81" fontId="6" fillId="9" borderId="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1" fontId="16" fillId="7" borderId="2" xfId="36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1" fontId="16" fillId="7" borderId="2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16" fillId="7" borderId="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8" fontId="16" fillId="5" borderId="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81" fontId="16" fillId="5" borderId="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2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3" fontId="16" fillId="0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8" fillId="6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6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8" fontId="16" fillId="8" borderId="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81" fontId="16" fillId="8" borderId="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8" fontId="16" fillId="8" borderId="2" xfId="1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6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8" fontId="8" fillId="6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81" fontId="8" fillId="6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5" borderId="2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8" fontId="6" fillId="0" borderId="2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8" fontId="6" fillId="5" borderId="2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73" fontId="31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73" fontId="4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9" fontId="4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85" fontId="6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2" fontId="6" fillId="0" borderId="2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8" fontId="6" fillId="0" borderId="2" xfId="15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9" fillId="5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6" fillId="4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6" borderId="2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83" fontId="16" fillId="5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5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8" fontId="16" fillId="7" borderId="2" xfId="1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81" fontId="16" fillId="7" borderId="2" xfId="1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8" fontId="6" fillId="5" borderId="0" xfId="1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83" fontId="16" fillId="5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8" fontId="16" fillId="5" borderId="2" xfId="15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8" fontId="16" fillId="7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8" fontId="6" fillId="5" borderId="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8" fontId="6" fillId="5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8" fontId="16" fillId="5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83" fontId="8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8" fontId="8" fillId="6" borderId="2" xfId="1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81" fontId="8" fillId="6" borderId="2" xfId="1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8" fontId="16" fillId="7" borderId="2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6" fillId="5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83" fontId="16" fillId="5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86" fontId="16" fillId="5" borderId="0" xfId="15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86" fontId="16" fillId="5" borderId="0" xfId="1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8" fontId="16" fillId="5" borderId="0" xfId="15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83" fontId="16" fillId="5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6" fillId="5" borderId="0" xfId="0" applyFont="true" applyBorder="true" applyAlignment="true" applyProtection="true">
      <alignment horizontal="general" vertical="center" textRotation="0" wrapText="true" indent="0" shrinkToFit="false" readingOrder="1"/>
      <protection locked="false" hidden="false"/>
    </xf>
    <xf numFmtId="164" fontId="16" fillId="5" borderId="0" xfId="0" applyFont="true" applyBorder="true" applyAlignment="true" applyProtection="true">
      <alignment horizontal="center" vertical="center" textRotation="90" wrapText="false" indent="0" shrinkToFit="false"/>
      <protection locked="false" hidden="false"/>
    </xf>
    <xf numFmtId="164" fontId="16" fillId="5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86" fontId="16" fillId="5" borderId="0" xfId="15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6" fillId="5" borderId="0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19" fillId="5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1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83" fontId="16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8" fontId="16" fillId="8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1" fontId="6" fillId="5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83" fontId="16" fillId="1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6" fillId="7" borderId="2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81" fontId="16" fillId="7" borderId="2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2" fontId="6" fillId="5" borderId="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2" fontId="16" fillId="7" borderId="2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2" fontId="6" fillId="5" borderId="0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6" fillId="11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1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11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5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78" fontId="16" fillId="12" borderId="2" xfId="15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4" fillId="5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79" fontId="4" fillId="5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6" fillId="4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79" fontId="6" fillId="4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5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5" fillId="5" borderId="0" xfId="39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1" fillId="5" borderId="0" xfId="4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1" fillId="5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45" fillId="0" borderId="0" xfId="39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8" fillId="6" borderId="1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6" fillId="6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8" fontId="4" fillId="5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6" fillId="6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6" fillId="6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8" fontId="46" fillId="6" borderId="2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9" fontId="46" fillId="6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7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7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45" fillId="0" borderId="0" xfId="39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8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48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9" fillId="5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80" fontId="4" fillId="7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8" fontId="4" fillId="7" borderId="2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8" fontId="4" fillId="0" borderId="2" xfId="15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8" fontId="4" fillId="12" borderId="2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81" fontId="4" fillId="12" borderId="2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9" fontId="4" fillId="5" borderId="2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80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87" fontId="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83" fontId="4" fillId="0" borderId="2" xfId="15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83" fontId="4" fillId="12" borderId="2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85" fontId="4" fillId="0" borderId="2" xfId="15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85" fontId="4" fillId="12" borderId="2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6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8" fontId="49" fillId="6" borderId="2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8" fontId="8" fillId="6" borderId="2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81" fontId="8" fillId="6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9" fontId="8" fillId="5" borderId="2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80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87" fontId="4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5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81" fontId="8" fillId="6" borderId="2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80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80" fontId="6" fillId="13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6" fillId="13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9" fontId="20" fillId="5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8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6" fillId="6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1" fillId="8" borderId="2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5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5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5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8" fontId="0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8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8" fontId="7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3" fillId="14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3" fillId="14" borderId="2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53" fillId="14" borderId="2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53" fillId="14" borderId="2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9" fontId="53" fillId="14" borderId="2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9" fontId="53" fillId="14" borderId="2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89" fontId="7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9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53" fillId="14" borderId="2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88" fontId="53" fillId="14" borderId="24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88" fontId="53" fillId="14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1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8" fillId="15" borderId="2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14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9" fontId="7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89" fontId="0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89" fontId="53" fillId="14" borderId="27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8" fontId="53" fillId="14" borderId="2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88" fontId="53" fillId="14" borderId="2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81" fontId="53" fillId="14" borderId="2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88" fontId="53" fillId="14" borderId="2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89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16" fillId="7" borderId="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8" fontId="4" fillId="5" borderId="2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8" fontId="0" fillId="8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8" fontId="5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0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1" fontId="0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16" fillId="7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8" fontId="4" fillId="7" borderId="2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5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4" fillId="16" borderId="2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8" fontId="16" fillId="7" borderId="2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16" fillId="17" borderId="2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8" fontId="16" fillId="5" borderId="2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8" fontId="4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18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8" fontId="4" fillId="5" borderId="2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18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1" fontId="4" fillId="5" borderId="2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8" fontId="56" fillId="5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1" fillId="0" borderId="0" xfId="27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1" fillId="0" borderId="0" xfId="2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8" fontId="51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7" fillId="0" borderId="0" xfId="2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7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6" borderId="19" xfId="27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8" fillId="6" borderId="2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3" fontId="8" fillId="6" borderId="19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9" fillId="6" borderId="0" xfId="2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6" borderId="19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8" fillId="6" borderId="19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19" borderId="2" xfId="27" applyFont="true" applyBorder="true" applyAlignment="true" applyProtection="false">
      <alignment horizontal="left" vertical="center" textRotation="0" wrapText="false" indent="0" shrinkToFit="false" readingOrder="1"/>
      <protection locked="true" hidden="false"/>
    </xf>
    <xf numFmtId="164" fontId="5" fillId="0" borderId="2" xfId="27" applyFont="true" applyBorder="true" applyAlignment="true" applyProtection="false">
      <alignment horizontal="general" vertical="center" textRotation="0" wrapText="true" indent="0" shrinkToFit="false" readingOrder="1"/>
      <protection locked="true" hidden="false"/>
    </xf>
    <xf numFmtId="183" fontId="16" fillId="5" borderId="2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16" fillId="5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90" fontId="16" fillId="5" borderId="2" xfId="31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20" borderId="2" xfId="27" applyFont="true" applyBorder="true" applyAlignment="true" applyProtection="false">
      <alignment horizontal="left" vertical="center" textRotation="0" wrapText="true" indent="0" shrinkToFit="false" readingOrder="1"/>
      <protection locked="true" hidden="false"/>
    </xf>
    <xf numFmtId="164" fontId="6" fillId="21" borderId="2" xfId="27" applyFont="true" applyBorder="true" applyAlignment="true" applyProtection="false">
      <alignment horizontal="left" vertical="center" textRotation="0" wrapText="true" indent="0" shrinkToFit="false" readingOrder="1"/>
      <protection locked="true" hidden="false"/>
    </xf>
    <xf numFmtId="164" fontId="8" fillId="6" borderId="2" xfId="27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8" fontId="8" fillId="6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3" fontId="8" fillId="6" borderId="2" xfId="2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2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8" fontId="58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4" fontId="58" fillId="0" borderId="0" xfId="2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8" fillId="0" borderId="0" xfId="2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8" fontId="5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51" fillId="0" borderId="0" xfId="2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83" fontId="51" fillId="0" borderId="0" xfId="27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oeda 2" xfId="20"/>
    <cellStyle name="Moeda 2 2" xfId="21"/>
    <cellStyle name="Normal 2" xfId="22"/>
    <cellStyle name="Normal 2 2" xfId="23"/>
    <cellStyle name="Normal 2 2 2" xfId="24"/>
    <cellStyle name="Normal 3" xfId="25"/>
    <cellStyle name="Normal 3 2" xfId="26"/>
    <cellStyle name="Normal 3 2 2" xfId="27"/>
    <cellStyle name="Porcentagem 2" xfId="28"/>
    <cellStyle name="Porcentagem 2 2" xfId="29"/>
    <cellStyle name="Porcentagem 3" xfId="30"/>
    <cellStyle name="Separador de milhares 2" xfId="31"/>
    <cellStyle name="Vírgula 2" xfId="32"/>
    <cellStyle name="Vírgula 2 2" xfId="33"/>
    <cellStyle name="Vírgula 2 2 2" xfId="34"/>
    <cellStyle name="Vírgula 2 3" xfId="35"/>
    <cellStyle name="Vírgula 3" xfId="36"/>
    <cellStyle name="Vírgula 4" xfId="37"/>
    <cellStyle name="Vírgula 4 2" xfId="38"/>
    <cellStyle name="Excel Built-in Good" xfId="39"/>
    <cellStyle name="Excel Built-in Neutral" xfId="40"/>
  </cellStyles>
  <dxfs count="2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5E0B4"/>
        </patternFill>
      </fill>
    </dxf>
    <dxf>
      <fill>
        <patternFill>
          <bgColor rgb="FFBDD7EE"/>
        </patternFill>
      </fill>
    </dxf>
    <dxf>
      <font>
        <color rgb="FF006600"/>
      </font>
      <fill>
        <patternFill>
          <bgColor rgb="FF006600"/>
        </patternFill>
      </fill>
    </dxf>
    <dxf>
      <fill>
        <patternFill>
          <bgColor rgb="FFC5E0B4"/>
        </patternFill>
      </fill>
    </dxf>
    <dxf>
      <fill>
        <patternFill>
          <bgColor rgb="FFBDD7EE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600"/>
      <rgbColor rgb="FF000080"/>
      <rgbColor rgb="FF9C6500"/>
      <rgbColor rgb="FF800080"/>
      <rgbColor rgb="FF008080"/>
      <rgbColor rgb="FFBFBFBF"/>
      <rgbColor rgb="FF808080"/>
      <rgbColor rgb="FFAFABAB"/>
      <rgbColor rgb="FF7030A0"/>
      <rgbColor rgb="FFFFFADE"/>
      <rgbColor rgb="FFE4F0F0"/>
      <rgbColor rgb="FF660066"/>
      <rgbColor rgb="FFFF8080"/>
      <rgbColor rgb="FF0070C0"/>
      <rgbColor rgb="FFBDD7EE"/>
      <rgbColor rgb="FF000080"/>
      <rgbColor rgb="FFFF00FF"/>
      <rgbColor rgb="FFFFFF00"/>
      <rgbColor rgb="FF00FFFF"/>
      <rgbColor rgb="FF800080"/>
      <rgbColor rgb="FF800000"/>
      <rgbColor rgb="FF006871"/>
      <rgbColor rgb="FF0000FF"/>
      <rgbColor rgb="FF00CCFF"/>
      <rgbColor rgb="FFF2F2F2"/>
      <rgbColor rgb="FFC6EFCE"/>
      <rgbColor rgb="FFFFEB9C"/>
      <rgbColor rgb="FF94BAC3"/>
      <rgbColor rgb="FFC5E0B4"/>
      <rgbColor rgb="FFD9D9D9"/>
      <rgbColor rgb="FFFFC7CE"/>
      <rgbColor rgb="FF2E75B6"/>
      <rgbColor rgb="FF009999"/>
      <rgbColor rgb="FF548235"/>
      <rgbColor rgb="FFFFCC00"/>
      <rgbColor rgb="FFFF9900"/>
      <rgbColor rgb="FFFF6600"/>
      <rgbColor rgb="FF7F7F7F"/>
      <rgbColor rgb="FFA6A6A6"/>
      <rgbColor rgb="FF20414B"/>
      <rgbColor rgb="FF339966"/>
      <rgbColor rgb="FF006100"/>
      <rgbColor rgb="FF006666"/>
      <rgbColor rgb="FF993300"/>
      <rgbColor rgb="FF528693"/>
      <rgbColor rgb="FF2A5664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externalLink" Target="externalLinks/externalLink1.xml"/><Relationship Id="rId12" Type="http://schemas.openxmlformats.org/officeDocument/2006/relationships/externalLink" Target="externalLinks/externalLink2.xml"/><Relationship Id="rId13" Type="http://schemas.openxmlformats.org/officeDocument/2006/relationships/externalLink" Target="externalLinks/externalLink3.xml"/><Relationship Id="rId14" Type="http://schemas.openxmlformats.org/officeDocument/2006/relationships/externalLink" Target="externalLinks/externalLink4.xml"/><Relationship Id="rId15" Type="http://schemas.openxmlformats.org/officeDocument/2006/relationships/externalLink" Target="externalLinks/externalLink5.xml"/><Relationship Id="rId16" Type="http://schemas.openxmlformats.org/officeDocument/2006/relationships/externalLink" Target="externalLinks/externalLink6.xml"/><Relationship Id="rId17" Type="http://schemas.openxmlformats.org/officeDocument/2006/relationships/externalLink" Target="externalLinks/externalLink7.xml"/><Relationship Id="rId1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<Relationship Id="rId2" Type="http://schemas.openxmlformats.org/officeDocument/2006/relationships/image" Target="../media/image3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11</xdr:col>
      <xdr:colOff>49320</xdr:colOff>
      <xdr:row>2</xdr:row>
      <xdr:rowOff>2329200</xdr:rowOff>
    </xdr:from>
    <xdr:to>
      <xdr:col>12</xdr:col>
      <xdr:colOff>68040</xdr:colOff>
      <xdr:row>2</xdr:row>
      <xdr:rowOff>2749680</xdr:rowOff>
    </xdr:to>
    <xdr:sp>
      <xdr:nvSpPr>
        <xdr:cNvPr id="0" name="Seta para a direita 7"/>
        <xdr:cNvSpPr/>
      </xdr:nvSpPr>
      <xdr:spPr>
        <a:xfrm>
          <a:off x="7173720" y="3183120"/>
          <a:ext cx="666720" cy="420480"/>
        </a:xfrm>
        <a:prstGeom prst="rightArrow">
          <a:avLst>
            <a:gd name="adj1" fmla="val 50000"/>
            <a:gd name="adj2" fmla="val 50000"/>
          </a:avLst>
        </a:prstGeom>
        <a:solidFill>
          <a:srgbClr val="2a5664"/>
        </a:solidFill>
        <a:ln>
          <a:solidFill>
            <a:srgbClr val="43729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12</xdr:col>
      <xdr:colOff>139320</xdr:colOff>
      <xdr:row>2</xdr:row>
      <xdr:rowOff>1924200</xdr:rowOff>
    </xdr:from>
    <xdr:to>
      <xdr:col>14</xdr:col>
      <xdr:colOff>581760</xdr:colOff>
      <xdr:row>2</xdr:row>
      <xdr:rowOff>3148200</xdr:rowOff>
    </xdr:to>
    <xdr:sp>
      <xdr:nvSpPr>
        <xdr:cNvPr id="1" name="Retângulo de cantos arredondados 9"/>
        <xdr:cNvSpPr/>
      </xdr:nvSpPr>
      <xdr:spPr>
        <a:xfrm>
          <a:off x="7911720" y="2778120"/>
          <a:ext cx="1737720" cy="1224000"/>
        </a:xfrm>
        <a:prstGeom prst="roundRect">
          <a:avLst>
            <a:gd name="adj" fmla="val 16667"/>
          </a:avLst>
        </a:prstGeom>
        <a:solidFill>
          <a:schemeClr val="bg1"/>
        </a:solidFill>
        <a:ln>
          <a:solidFill>
            <a:srgbClr val="43729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  <a:tabLst>
              <a:tab algn="l" pos="0"/>
            </a:tabLst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Clicar duas vezes no objetivo estratégico, na figura ao lado, e inclua os objetivos locais, no máximo três.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6480</xdr:rowOff>
    </xdr:from>
    <xdr:to>
      <xdr:col>10</xdr:col>
      <xdr:colOff>568800</xdr:colOff>
      <xdr:row>5</xdr:row>
      <xdr:rowOff>3801240</xdr:rowOff>
    </xdr:to>
    <xdr:pic>
      <xdr:nvPicPr>
        <xdr:cNvPr id="2" name="Imagem 4" descr=""/>
        <xdr:cNvPicPr/>
      </xdr:nvPicPr>
      <xdr:blipFill>
        <a:blip r:embed="rId1"/>
        <a:stretch/>
      </xdr:blipFill>
      <xdr:spPr>
        <a:xfrm>
          <a:off x="0" y="8556480"/>
          <a:ext cx="7045560" cy="379476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12</xdr:col>
      <xdr:colOff>109080</xdr:colOff>
      <xdr:row>5</xdr:row>
      <xdr:rowOff>1548000</xdr:rowOff>
    </xdr:from>
    <xdr:to>
      <xdr:col>14</xdr:col>
      <xdr:colOff>275040</xdr:colOff>
      <xdr:row>5</xdr:row>
      <xdr:rowOff>2691360</xdr:rowOff>
    </xdr:to>
    <xdr:sp>
      <xdr:nvSpPr>
        <xdr:cNvPr id="3" name="Retângulo de cantos arredondados 10"/>
        <xdr:cNvSpPr/>
      </xdr:nvSpPr>
      <xdr:spPr>
        <a:xfrm>
          <a:off x="7881480" y="10098000"/>
          <a:ext cx="1461240" cy="1143360"/>
        </a:xfrm>
        <a:prstGeom prst="roundRect">
          <a:avLst>
            <a:gd name="adj" fmla="val 16667"/>
          </a:avLst>
        </a:prstGeom>
        <a:solidFill>
          <a:schemeClr val="bg1"/>
        </a:solidFill>
        <a:ln>
          <a:solidFill>
            <a:srgbClr val="43729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  <a:tabLst>
              <a:tab algn="l" pos="0"/>
            </a:tabLst>
          </a:pPr>
          <a:r>
            <a:rPr b="1" lang="pt-BR" sz="1200" spc="-1" strike="noStrike">
              <a:solidFill>
                <a:srgbClr val="000000"/>
              </a:solidFill>
              <a:latin typeface="Calibri"/>
            </a:rPr>
            <a:t>Facultativo a utilização dos ODS na Programação 2022.</a:t>
          </a:r>
          <a:endParaRPr b="0" lang="pt-BR" sz="1200" spc="-1" strike="noStrike">
            <a:latin typeface="Times New Roman"/>
          </a:endParaRPr>
        </a:p>
      </xdr:txBody>
    </xdr:sp>
    <xdr:clientData/>
  </xdr:twoCellAnchor>
  <xdr:twoCellAnchor editAs="twoCell">
    <xdr:from>
      <xdr:col>11</xdr:col>
      <xdr:colOff>38880</xdr:colOff>
      <xdr:row>5</xdr:row>
      <xdr:rowOff>1821240</xdr:rowOff>
    </xdr:from>
    <xdr:to>
      <xdr:col>12</xdr:col>
      <xdr:colOff>57600</xdr:colOff>
      <xdr:row>5</xdr:row>
      <xdr:rowOff>2241720</xdr:rowOff>
    </xdr:to>
    <xdr:sp>
      <xdr:nvSpPr>
        <xdr:cNvPr id="4" name="Seta para a direita 7"/>
        <xdr:cNvSpPr/>
      </xdr:nvSpPr>
      <xdr:spPr>
        <a:xfrm>
          <a:off x="7163280" y="10371240"/>
          <a:ext cx="666720" cy="420480"/>
        </a:xfrm>
        <a:prstGeom prst="rightArrow">
          <a:avLst>
            <a:gd name="adj1" fmla="val 50000"/>
            <a:gd name="adj2" fmla="val 50000"/>
          </a:avLst>
        </a:prstGeom>
        <a:solidFill>
          <a:srgbClr val="2a5664"/>
        </a:solidFill>
        <a:ln>
          <a:solidFill>
            <a:srgbClr val="43729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0</xdr:col>
      <xdr:colOff>0</xdr:colOff>
      <xdr:row>2</xdr:row>
      <xdr:rowOff>28440</xdr:rowOff>
    </xdr:from>
    <xdr:to>
      <xdr:col>11</xdr:col>
      <xdr:colOff>228960</xdr:colOff>
      <xdr:row>4</xdr:row>
      <xdr:rowOff>343800</xdr:rowOff>
    </xdr:to>
    <xdr:pic>
      <xdr:nvPicPr>
        <xdr:cNvPr id="5" name="Picture 1" descr=""/>
        <xdr:cNvPicPr/>
      </xdr:nvPicPr>
      <xdr:blipFill>
        <a:blip r:embed="rId2"/>
        <a:stretch/>
      </xdr:blipFill>
      <xdr:spPr>
        <a:xfrm>
          <a:off x="0" y="882360"/>
          <a:ext cx="7353360" cy="7173360"/>
        </a:xfrm>
        <a:prstGeom prst="rect">
          <a:avLst/>
        </a:prstGeom>
        <a:ln w="0"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172.16.0.103/fs-caubr/Users/patriciagomo/Desktop/Tabelas%20Diretrizes%20-%20Reprog%202020.xlsx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ile:///C:/Users/patriciagomo/Desktop/Reprograma&#231;&#227;o%202020/Tabelas%20Diretrizes%20-%20Reprog%202020.xlsx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file:///C:/Users/user/Documents/ARQUIVOS%20-%20CAU-PR/PLANEJAMENTO%202022/PROGRAMA&#199;&#195;O%202022/Modelo%20para%20Elabora&#231;&#227;o%20da%20Programa&#231;&#227;o%20do%20Plano%20de%20A&#231;&#227;o%20e%20Or&#231;amento%20CAUUF%20-%202022%20(1).xlsx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file:///C:/Users/user/Documents/ARQUIVOS%20-%20CAU-PR/PLANEJAMENTO%202022/PROGRAMA&#199;&#195;O%202022/PARECER%20PLANEJAMENTO%20CAU-BR/REVIS&#195;O%20TANIA%20CAU%20BR/CORRIGIDO%20-%20Elabora&#231;&#227;o%20da%20Programa&#231;&#227;o%20do%20Plano%20de%20A&#231;&#227;o%20e%20Or&#231;amento%20CAU-PR%20-%202022%20-%20V1.xlsx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file://172.16.0.103/fs-caubr/ASSESSORIA%20DE%20PLANEJAMENTO%20E%20GESTAO%20DA%20ESTRATEGIA/2022/Programa&#231;&#227;o%202022/Diretrizes%202022/MINUTA%20-%20Tabelas%20Diretrizes%20Programa&#231;&#227;o%202022%20_Final3_20.09.2022.xlsx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file:///C:/Users/patriciagomo/Desktop/MINUTA%20-%20Tabelas%20Diretrizes%20Programa&#231;&#227;o%202022%20_Final3_20.09.2022.xlsx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file://172.16.0.103/fs-caubr/ASSESSORIA%20DE%20PLANEJAMENTO%20E%20GESTAO%20DA%20ESTRATEGIA/2021/Reprograma&#231;&#227;o%202021/An&#225;lise%20das%20Presta&#231;&#245;es%20de%20Contas%20CAU%202020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"/>
      <sheetName val="QUADRO_1"/>
      <sheetName val="QUADRO_2"/>
      <sheetName val="QUADRO_3"/>
      <sheetName val="QUADRO_4"/>
      <sheetName val="Simulação_de_%"/>
      <sheetName val="Estudos_-_Receita"/>
      <sheetName val="ANEXO_I"/>
      <sheetName val="ANEXO_II"/>
      <sheetName val="ANEXO_III_e_Anexo_IX"/>
      <sheetName val="Estudos_-_Quant__PF"/>
      <sheetName val="NOVOS_EGRESSOS"/>
      <sheetName val="ANEXO_IV"/>
      <sheetName val="ANEXO_V"/>
      <sheetName val="Estudos_-_Quant__PJ"/>
      <sheetName val="ANEXO_VI"/>
      <sheetName val="ANEXO_VII"/>
      <sheetName val="ANEXO_VIII"/>
      <sheetName val="ANEXO_X_Aporte_FA"/>
      <sheetName val="ANEXO_X_I_Repasse_FA"/>
      <sheetName val="ANEXO_XI_CSC_Total"/>
      <sheetName val="ANEXO_XI_I_CSC_RIA"/>
      <sheetName val="ANEXO_XI_II_CSC_Essencial"/>
      <sheetName val="ANEXO_XI_III_-_RIA_Enc__dContas"/>
      <sheetName val="ANEXO_XII"/>
      <sheetName val="XIII__TAXAS_BANCÁRIAS"/>
      <sheetName val="NOVO_SISCAF"/>
      <sheetName val="Gráficos_e_Tabelas"/>
      <sheetName val="Resumo_-_Ajuste_pelos_UFs"/>
      <sheetName val="Resumo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"/>
      <sheetName val="Validação de d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ientações Iniciais"/>
      <sheetName val="Mapa Estratégico e ODS"/>
      <sheetName val="Indicadores e Metas"/>
      <sheetName val="Quadro Geral"/>
      <sheetName val="Anexo 1. Fontes e Aplicações"/>
      <sheetName val="Anexo 2. Limites Estratégicos"/>
      <sheetName val="Anexo 3. Elemento de Despesas"/>
      <sheetName val="Validação de dados"/>
      <sheetName val="Diretrizes - Resumo"/>
      <sheetName val="Matriz de Obj. Estrat."/>
    </sheetNames>
    <sheetDataSet>
      <sheetData sheetId="0"/>
      <sheetData sheetId="1"/>
      <sheetData sheetId="2"/>
      <sheetData sheetId="3"/>
      <sheetData sheetId="4">
        <row r="8">
          <cell r="D8">
            <v>0</v>
          </cell>
        </row>
      </sheetData>
      <sheetData sheetId="5">
        <row r="5">
          <cell r="M5">
            <v>0</v>
          </cell>
        </row>
        <row r="7">
          <cell r="M7">
            <v>0</v>
          </cell>
        </row>
      </sheetData>
      <sheetData sheetId="6"/>
      <sheetData sheetId="7"/>
      <sheetData sheetId="8">
        <row r="19">
          <cell r="AK19" t="e">
            <v>#VALUE!</v>
          </cell>
        </row>
        <row r="20">
          <cell r="AK20" t="e">
            <v>#VALUE!</v>
          </cell>
        </row>
        <row r="21">
          <cell r="AK21" t="e">
            <v>#VALUE!</v>
          </cell>
        </row>
        <row r="23">
          <cell r="AK23" t="e">
            <v>#VALUE!</v>
          </cell>
        </row>
        <row r="24">
          <cell r="AK24" t="e">
            <v>#VALUE!</v>
          </cell>
        </row>
        <row r="27">
          <cell r="AK27" t="e">
            <v>#VALUE!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rientações inciais"/>
      <sheetName val="Mapa Estratégico e ODS"/>
      <sheetName val="indicadores e metas"/>
      <sheetName val="Quadro Geral"/>
      <sheetName val="Anexo 1. Fontes e Aplicações"/>
      <sheetName val="Anexo 2. Limites Estratégicos"/>
      <sheetName val="Anexo 3.Elemento de Despesas"/>
      <sheetName val="1-Anexo 4-Plenária CAU-PR"/>
      <sheetName val="2-Anexo 4-Manut. CEF-PR"/>
      <sheetName val="3-Anexo 4-Manut. CED-PR"/>
      <sheetName val="4-Anexo 4-Manut. CEP-PR"/>
      <sheetName val="5-Anexo 4-Manut. COA-PR"/>
      <sheetName val="6-Anexo 4-Manut. CPFi-PR"/>
      <sheetName val="7-Anexo 4-Manut. CEAU-PR"/>
      <sheetName val="8-Anexo 4-Manut. CPUA-PR"/>
      <sheetName val="9-Anexo 4 -Manut. C.D."/>
      <sheetName val="10-Anexo 4-Gab.da Presidencia"/>
      <sheetName val="11-Anexo 4-Fiscalização Sede"/>
      <sheetName val="12-Anexo4-Fiscalização Regional"/>
      <sheetName val="13-Anexo 4-Fiscaliz. Cascavel"/>
      <sheetName val="14-Anexo 4-Fiscaliz.Londrina"/>
      <sheetName val="15-Anexo 4-Fiscaliz. Maringá"/>
      <sheetName val="16-Anexo 4 - Fiscaliz. Pato B"/>
      <sheetName val="17-Anexo 4-Fiscaliz. Guarapua"/>
      <sheetName val="18-Anexo 4-CSC Fiscalização"/>
      <sheetName val="19-Anexo 4-Atendimento Sede"/>
      <sheetName val="20-Anexo 4-Atendimento Regional"/>
      <sheetName val="21-Anexo 4-Atendim. Cascavel"/>
      <sheetName val="22-Anexo 4-Atendim. Londrina"/>
      <sheetName val="23-Anexo 4-Atendim.Maringa"/>
      <sheetName val="24-Anexo 4-Atendim. P.Branco"/>
      <sheetName val="25-Anexo 4 - CSC Atendimento"/>
      <sheetName val="26-Anexo 4-Funcionam. CAU-ADM"/>
      <sheetName val="27-Anexo 4 - ADM Regionais "/>
      <sheetName val="28-Anexo 4-Adm. Cascavel"/>
      <sheetName val="29-Anexo 4-Adm. Londrina"/>
      <sheetName val="30-Anexo 4-Adm. Maringá"/>
      <sheetName val="31-Anexo 4-Adm.Pato Branco"/>
      <sheetName val="32-Anexo 4-Adm. Guarapuava"/>
      <sheetName val="33-Anexo 4-Treinamentos"/>
      <sheetName val="34-Anexo 4-Comunicação"/>
      <sheetName val="35-Anexo 4-Financeiro"/>
      <sheetName val="36-Anexo 4-Fundo de Apoio"/>
      <sheetName val="37-Anexo 4-Jurídico"/>
      <sheetName val="38-Anexo 4-Ger. Planejamento"/>
      <sheetName val="39-Anexo 4-Reser. Contingência"/>
      <sheetName val="40-Anexo 4-ATHIS"/>
      <sheetName val="41-Anexo 4 - Patrocinios"/>
      <sheetName val="42-Anexo 4 - Proj. - PDTI"/>
      <sheetName val="43-Anexo 4-Reforma Sede"/>
      <sheetName val="44-Anexo 4 -  Bim"/>
      <sheetName val="45-Anexo 4 - Camaras tecnicas"/>
      <sheetName val="46-Anexo 4 PR Conec-Observat."/>
      <sheetName val="47-Anexo 4 Semana Arquitetura"/>
      <sheetName val="48-Anexo 4 Dia do Arquiteto"/>
      <sheetName val="49-Anexo 4-Chatbot e URA"/>
      <sheetName val="50-Anexo 4-GT-Ética Mapeamento"/>
      <sheetName val="51-Anexo 4-Acões Prior. CEF"/>
      <sheetName val="52-Anexo 4-Acões Prior. CED"/>
      <sheetName val="53-Anexo 4-Ações Prior.CEPuniv"/>
      <sheetName val="54-Anexo 4-Ações Prior.CEPatri"/>
      <sheetName val="55-Anexo 4-Ações Prior.CEPfisc"/>
      <sheetName val="56-Anexo 4-Ações Prior.CEPdesc"/>
      <sheetName val="57-Anexo 4-Ações Prior. COA"/>
      <sheetName val="58-Anexo 4-Ações Prior. CPFi"/>
      <sheetName val="59-Anexo 4-Ações Prior.CPUAage"/>
      <sheetName val="60-Anexo 4-Ações Prior.CPUApla"/>
      <sheetName val="61-Anexo 4-Ações Prior.CPUAath"/>
      <sheetName val="62-Anexo 4-Com.Temp. Equidade"/>
      <sheetName val="63-Anexo 4 - Com. Temp. inter"/>
      <sheetName val="64-Anexo 4 - Com. Temp. parla"/>
      <sheetName val="65-Anexo 4 - Com. Temp. sedes"/>
      <sheetName val="66-Anexo 4-Projeto Rotas"/>
      <sheetName val="67-Anexo 4 - Projeto Sigma"/>
      <sheetName val="68-Anexo 4 - PSS"/>
      <sheetName val="69"/>
      <sheetName val="70"/>
      <sheetName val="71"/>
      <sheetName val="72"/>
      <sheetName val="ações estratégicas - descrição"/>
      <sheetName val="Validação de dados"/>
      <sheetName val="Diretrizes - Resumo"/>
      <sheetName val="Matriz de Obj. Estrat."/>
    </sheetNames>
    <sheetDataSet>
      <sheetData sheetId="0"/>
      <sheetData sheetId="1"/>
      <sheetData sheetId="2"/>
      <sheetData sheetId="3"/>
      <sheetData sheetId="4">
        <row r="23">
          <cell r="D23">
            <v>5274703.42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ras de Descontos - PF e PJ"/>
      <sheetName val="PF e PJ - com desconto"/>
      <sheetName val="Quadro 1 - AÇÕES ESTRATÉGICAS"/>
      <sheetName val="Quadro 2"/>
      <sheetName val="Quadro 3"/>
      <sheetName val="Quadro 4"/>
      <sheetName val="Quadros 5 6 7"/>
      <sheetName val="Anexo IV- Qde e Valor 100%"/>
      <sheetName val="Anexo III- Qde Prof_Empr_RRT"/>
      <sheetName val="Anexo V-Resumo Valor 80% "/>
      <sheetName val="Alterações ou Resumo do CAU_UF"/>
      <sheetName val="Anexo VI-Repasse Fundo de Apoio"/>
      <sheetName val="Anexo VI.I-Aporte do FA"/>
      <sheetName val="Anexo VII- CSC - SERV."/>
      <sheetName val="Anexo VII.I-CSC-Teleatendimento"/>
      <sheetName val="Anexo VII.II-CSC -ESSENCIAIS"/>
      <sheetName val="Anexo VII.III- SISCAF"/>
      <sheetName val="GERAL_CSC"/>
      <sheetName val=" Anexo VIII-TARIFAS BANCÁRIAS"/>
      <sheetName val="Anexo X.I-Projeções (80 e 100)"/>
      <sheetName val="PF - Projeção"/>
      <sheetName val="Anexo X.II-Anuidades PF"/>
      <sheetName val="PJ - Projeção"/>
      <sheetName val="RRT"/>
      <sheetName val="Anexo X.III- Anuidades PJ"/>
      <sheetName val="Anexo X.IV- RRT "/>
      <sheetName val="Taxas e Multas"/>
      <sheetName val="Anexo X.V-Taxas e Multas"/>
      <sheetName val="Estudos-Percentuais"/>
      <sheetName val="Exerc.Anteriores PF-PJ"/>
      <sheetName val="PASSAGENS_2022"/>
      <sheetName val="Arrecadação_Aportes "/>
      <sheetName val="APRESENTAÇÃO  2022"/>
      <sheetName val="Aporte_Arrecadação(2)"/>
      <sheetName val="ANEXO XI.I"/>
      <sheetName val="EMPRESAS"/>
      <sheetName val="CSC_TAQ e Telefonia"/>
      <sheetName val="ações estratégicas - descrição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A4" t="str">
            <v>AC</v>
          </cell>
          <cell r="B4">
            <v>133747.58</v>
          </cell>
          <cell r="C4">
            <v>28680.3</v>
          </cell>
          <cell r="D4">
            <v>162427.88</v>
          </cell>
          <cell r="E4">
            <v>173779.936</v>
          </cell>
          <cell r="F4">
            <v>28680.296</v>
          </cell>
          <cell r="G4">
            <v>202460.232</v>
          </cell>
          <cell r="H4">
            <v>23984.2</v>
          </cell>
          <cell r="I4">
            <v>7609.26</v>
          </cell>
          <cell r="J4">
            <v>31593.46</v>
          </cell>
          <cell r="K4">
            <v>26559.704</v>
          </cell>
          <cell r="L4">
            <v>7609.272</v>
          </cell>
          <cell r="M4">
            <v>34168.976</v>
          </cell>
          <cell r="N4">
            <v>206165.16</v>
          </cell>
          <cell r="O4">
            <v>235854.82</v>
          </cell>
          <cell r="P4">
            <v>17772.46</v>
          </cell>
          <cell r="Q4">
            <v>24707.91</v>
          </cell>
          <cell r="R4">
            <v>417958.96</v>
          </cell>
          <cell r="S4">
            <v>497191.938</v>
          </cell>
        </row>
        <row r="5">
          <cell r="A5" t="str">
            <v>AM</v>
          </cell>
          <cell r="B5">
            <v>416901.96</v>
          </cell>
          <cell r="C5">
            <v>121138.21</v>
          </cell>
          <cell r="D5">
            <v>538040.17</v>
          </cell>
          <cell r="E5">
            <v>571370.08</v>
          </cell>
          <cell r="F5">
            <v>121138.208</v>
          </cell>
          <cell r="G5">
            <v>692508.288</v>
          </cell>
          <cell r="H5">
            <v>36262.19</v>
          </cell>
          <cell r="I5">
            <v>21504.72</v>
          </cell>
          <cell r="J5">
            <v>57766.91</v>
          </cell>
          <cell r="K5">
            <v>46580.504</v>
          </cell>
          <cell r="L5">
            <v>21504.728</v>
          </cell>
          <cell r="M5">
            <v>68085.232</v>
          </cell>
          <cell r="N5">
            <v>469924.92</v>
          </cell>
          <cell r="O5">
            <v>580459.14</v>
          </cell>
          <cell r="P5">
            <v>56137.91</v>
          </cell>
          <cell r="Q5">
            <v>67052.63</v>
          </cell>
          <cell r="R5">
            <v>1121869.91</v>
          </cell>
          <cell r="S5">
            <v>1408105.29</v>
          </cell>
        </row>
        <row r="6">
          <cell r="A6" t="str">
            <v>AP</v>
          </cell>
          <cell r="B6">
            <v>149612.31</v>
          </cell>
          <cell r="C6">
            <v>40871.72</v>
          </cell>
          <cell r="D6">
            <v>190484.03</v>
          </cell>
          <cell r="E6">
            <v>199437.944</v>
          </cell>
          <cell r="F6">
            <v>40871.728</v>
          </cell>
          <cell r="G6">
            <v>240309.672</v>
          </cell>
          <cell r="H6">
            <v>25154.1</v>
          </cell>
          <cell r="I6">
            <v>22426.18</v>
          </cell>
          <cell r="J6">
            <v>47580.28</v>
          </cell>
          <cell r="K6">
            <v>33169.32</v>
          </cell>
          <cell r="L6">
            <v>22426.176</v>
          </cell>
          <cell r="M6">
            <v>55595.496</v>
          </cell>
          <cell r="N6">
            <v>259685.04</v>
          </cell>
          <cell r="O6">
            <v>297156.29</v>
          </cell>
          <cell r="P6">
            <v>21749.19</v>
          </cell>
          <cell r="Q6">
            <v>29653.07</v>
          </cell>
          <cell r="R6">
            <v>519498.54</v>
          </cell>
          <cell r="S6">
            <v>622714.528</v>
          </cell>
        </row>
        <row r="7">
          <cell r="A7" t="str">
            <v>PA</v>
          </cell>
          <cell r="B7">
            <v>496336.06</v>
          </cell>
          <cell r="C7">
            <v>288818.38</v>
          </cell>
          <cell r="D7">
            <v>785154.44</v>
          </cell>
          <cell r="E7">
            <v>631256.576</v>
          </cell>
          <cell r="F7">
            <v>288818.384</v>
          </cell>
          <cell r="G7">
            <v>920074.96</v>
          </cell>
          <cell r="H7">
            <v>43801.73</v>
          </cell>
          <cell r="I7">
            <v>30925.57</v>
          </cell>
          <cell r="J7">
            <v>74727.3</v>
          </cell>
          <cell r="K7">
            <v>51412.072</v>
          </cell>
          <cell r="L7">
            <v>30925.568</v>
          </cell>
          <cell r="M7">
            <v>82337.64</v>
          </cell>
          <cell r="N7">
            <v>630798</v>
          </cell>
          <cell r="O7">
            <v>718127.7</v>
          </cell>
          <cell r="P7">
            <v>67638.45</v>
          </cell>
          <cell r="Q7">
            <v>77424.31</v>
          </cell>
          <cell r="R7">
            <v>1558318.19</v>
          </cell>
          <cell r="S7">
            <v>1797964.61</v>
          </cell>
        </row>
        <row r="8">
          <cell r="A8" t="str">
            <v>RO</v>
          </cell>
          <cell r="B8">
            <v>297526.93</v>
          </cell>
          <cell r="C8">
            <v>50792.11</v>
          </cell>
          <cell r="D8">
            <v>348319.04</v>
          </cell>
          <cell r="E8">
            <v>376617.672</v>
          </cell>
          <cell r="F8">
            <v>50792.112</v>
          </cell>
          <cell r="G8">
            <v>427409.784</v>
          </cell>
          <cell r="H8">
            <v>39008.2</v>
          </cell>
          <cell r="I8">
            <v>14584.26</v>
          </cell>
          <cell r="J8">
            <v>53592.46</v>
          </cell>
          <cell r="K8">
            <v>41183.2</v>
          </cell>
          <cell r="L8">
            <v>14584.256</v>
          </cell>
          <cell r="M8">
            <v>55767.456</v>
          </cell>
          <cell r="N8">
            <v>824974.08</v>
          </cell>
          <cell r="O8">
            <v>953030.09</v>
          </cell>
          <cell r="P8">
            <v>48087.68</v>
          </cell>
          <cell r="Q8">
            <v>64629.33</v>
          </cell>
          <cell r="R8">
            <v>1274973.26</v>
          </cell>
          <cell r="S8">
            <v>1500836.66</v>
          </cell>
        </row>
        <row r="9">
          <cell r="A9" t="str">
            <v>RR</v>
          </cell>
          <cell r="B9">
            <v>48985.88</v>
          </cell>
          <cell r="C9">
            <v>10597.97</v>
          </cell>
          <cell r="D9">
            <v>59583.85</v>
          </cell>
          <cell r="E9">
            <v>58052.096</v>
          </cell>
          <cell r="F9">
            <v>10597.968</v>
          </cell>
          <cell r="G9">
            <v>68650.064</v>
          </cell>
          <cell r="H9">
            <v>7966.47</v>
          </cell>
          <cell r="I9">
            <v>4434.56</v>
          </cell>
          <cell r="J9">
            <v>12401.03</v>
          </cell>
          <cell r="K9">
            <v>8061.864</v>
          </cell>
          <cell r="L9">
            <v>4434.56</v>
          </cell>
          <cell r="M9">
            <v>12496.424</v>
          </cell>
          <cell r="N9">
            <v>98576.88</v>
          </cell>
          <cell r="O9">
            <v>109875.1</v>
          </cell>
          <cell r="P9">
            <v>5830.72</v>
          </cell>
          <cell r="Q9">
            <v>7640.86</v>
          </cell>
          <cell r="R9">
            <v>176392.48</v>
          </cell>
          <cell r="S9">
            <v>198662.448</v>
          </cell>
        </row>
        <row r="10">
          <cell r="A10" t="str">
            <v>TO</v>
          </cell>
          <cell r="B10">
            <v>184562.88</v>
          </cell>
          <cell r="C10">
            <v>57922.27</v>
          </cell>
          <cell r="D10">
            <v>242485.15</v>
          </cell>
          <cell r="E10">
            <v>233109.96</v>
          </cell>
          <cell r="F10">
            <v>33368.248</v>
          </cell>
          <cell r="G10">
            <v>266478.208</v>
          </cell>
          <cell r="H10">
            <v>28268.52</v>
          </cell>
          <cell r="I10">
            <v>15518.02</v>
          </cell>
          <cell r="J10">
            <v>43786.54</v>
          </cell>
          <cell r="K10">
            <v>29739.488</v>
          </cell>
          <cell r="L10">
            <v>15518.024</v>
          </cell>
          <cell r="M10">
            <v>45257.512</v>
          </cell>
          <cell r="N10">
            <v>425259.72</v>
          </cell>
          <cell r="O10">
            <v>478376.6</v>
          </cell>
          <cell r="P10">
            <v>30867.9</v>
          </cell>
          <cell r="Q10">
            <v>44505.71</v>
          </cell>
          <cell r="R10">
            <v>742399.31</v>
          </cell>
          <cell r="S10">
            <v>834618.03</v>
          </cell>
        </row>
        <row r="11">
          <cell r="A11" t="str">
            <v>Soma (N)</v>
          </cell>
          <cell r="B11">
            <v>1727673.6</v>
          </cell>
          <cell r="C11">
            <v>598820.96</v>
          </cell>
          <cell r="D11">
            <v>2326494.56</v>
          </cell>
          <cell r="E11">
            <v>2243624.264</v>
          </cell>
          <cell r="F11">
            <v>574266.944</v>
          </cell>
          <cell r="G11">
            <v>2817891.208</v>
          </cell>
          <cell r="H11">
            <v>204445.41</v>
          </cell>
          <cell r="I11">
            <v>117002.57</v>
          </cell>
          <cell r="J11">
            <v>321447.98</v>
          </cell>
          <cell r="K11">
            <v>236706.152</v>
          </cell>
          <cell r="L11">
            <v>117002.584</v>
          </cell>
          <cell r="M11">
            <v>353708.736</v>
          </cell>
          <cell r="N11">
            <v>2915383.8</v>
          </cell>
          <cell r="O11">
            <v>3372879.74</v>
          </cell>
          <cell r="P11">
            <v>248084.31</v>
          </cell>
          <cell r="Q11">
            <v>315613.82</v>
          </cell>
          <cell r="R11">
            <v>5811410.65</v>
          </cell>
          <cell r="S11">
            <v>6860093.504</v>
          </cell>
        </row>
        <row r="12">
          <cell r="A12" t="str">
            <v>AL</v>
          </cell>
          <cell r="B12">
            <v>449510.76</v>
          </cell>
          <cell r="C12">
            <v>134760.3</v>
          </cell>
          <cell r="D12">
            <v>584271.06</v>
          </cell>
          <cell r="E12">
            <v>529644.176</v>
          </cell>
          <cell r="F12">
            <v>119850.664</v>
          </cell>
          <cell r="G12">
            <v>649494.84</v>
          </cell>
          <cell r="H12">
            <v>24673.53</v>
          </cell>
          <cell r="I12">
            <v>19201.43</v>
          </cell>
          <cell r="J12">
            <v>43874.96</v>
          </cell>
          <cell r="K12">
            <v>28274.616</v>
          </cell>
          <cell r="L12">
            <v>19201.424</v>
          </cell>
          <cell r="M12">
            <v>47476.04</v>
          </cell>
          <cell r="N12">
            <v>557139.6</v>
          </cell>
          <cell r="O12">
            <v>623231.63</v>
          </cell>
          <cell r="P12">
            <v>65651.72</v>
          </cell>
          <cell r="Q12">
            <v>85690.17</v>
          </cell>
          <cell r="R12">
            <v>1250937.34</v>
          </cell>
          <cell r="S12">
            <v>1405892.68</v>
          </cell>
        </row>
        <row r="13">
          <cell r="A13" t="str">
            <v>BA</v>
          </cell>
          <cell r="B13">
            <v>1308962.26</v>
          </cell>
          <cell r="C13">
            <v>294898.4</v>
          </cell>
          <cell r="D13">
            <v>1603860.66</v>
          </cell>
          <cell r="E13">
            <v>1635572.384</v>
          </cell>
          <cell r="F13">
            <v>294898.4</v>
          </cell>
          <cell r="G13">
            <v>1930470.784</v>
          </cell>
          <cell r="H13">
            <v>180090.81</v>
          </cell>
          <cell r="I13">
            <v>80935.03</v>
          </cell>
          <cell r="J13">
            <v>261025.84</v>
          </cell>
          <cell r="K13">
            <v>190196.368</v>
          </cell>
          <cell r="L13">
            <v>80935.024</v>
          </cell>
          <cell r="M13">
            <v>271131.392</v>
          </cell>
          <cell r="N13">
            <v>1401938.76</v>
          </cell>
          <cell r="O13">
            <v>1581889.68</v>
          </cell>
          <cell r="P13">
            <v>146252.78</v>
          </cell>
          <cell r="Q13">
            <v>190281.52</v>
          </cell>
          <cell r="R13">
            <v>3413078.04</v>
          </cell>
          <cell r="S13">
            <v>3973773.376</v>
          </cell>
        </row>
        <row r="14">
          <cell r="A14" t="str">
            <v>CE</v>
          </cell>
          <cell r="B14">
            <v>819993.89</v>
          </cell>
          <cell r="C14">
            <v>168626.55</v>
          </cell>
          <cell r="D14">
            <v>988620.44</v>
          </cell>
          <cell r="E14">
            <v>1073890.6</v>
          </cell>
          <cell r="F14">
            <v>168626.544</v>
          </cell>
          <cell r="G14">
            <v>1242517.144</v>
          </cell>
          <cell r="H14">
            <v>81064.95</v>
          </cell>
          <cell r="I14">
            <v>29076.74</v>
          </cell>
          <cell r="J14">
            <v>110141.69</v>
          </cell>
          <cell r="K14">
            <v>95297.712</v>
          </cell>
          <cell r="L14">
            <v>29076.736</v>
          </cell>
          <cell r="M14">
            <v>124374.448</v>
          </cell>
          <cell r="N14">
            <v>909916.32</v>
          </cell>
          <cell r="O14">
            <v>1034072.71</v>
          </cell>
          <cell r="P14">
            <v>84491.25</v>
          </cell>
          <cell r="Q14">
            <v>107937.7</v>
          </cell>
          <cell r="R14">
            <v>2093169.7</v>
          </cell>
          <cell r="S14">
            <v>2508902.002</v>
          </cell>
        </row>
        <row r="15">
          <cell r="A15" t="str">
            <v>MA</v>
          </cell>
          <cell r="B15">
            <v>390022.12</v>
          </cell>
          <cell r="C15">
            <v>104363.14</v>
          </cell>
          <cell r="D15">
            <v>494385.26</v>
          </cell>
          <cell r="E15">
            <v>511040.368</v>
          </cell>
          <cell r="F15">
            <v>104363.144</v>
          </cell>
          <cell r="G15">
            <v>615403.512</v>
          </cell>
          <cell r="H15">
            <v>38619.23</v>
          </cell>
          <cell r="I15">
            <v>37561.28</v>
          </cell>
          <cell r="J15">
            <v>76180.51</v>
          </cell>
          <cell r="K15">
            <v>41637.816</v>
          </cell>
          <cell r="L15">
            <v>37561.28</v>
          </cell>
          <cell r="M15">
            <v>79199.096</v>
          </cell>
          <cell r="N15">
            <v>418285.68</v>
          </cell>
          <cell r="O15">
            <v>479848.53</v>
          </cell>
          <cell r="P15">
            <v>44225.89</v>
          </cell>
          <cell r="Q15">
            <v>52850.3</v>
          </cell>
          <cell r="R15">
            <v>1033077.34</v>
          </cell>
          <cell r="S15">
            <v>1227301.438</v>
          </cell>
        </row>
        <row r="16">
          <cell r="A16" t="str">
            <v>PB</v>
          </cell>
          <cell r="B16">
            <v>603577.43</v>
          </cell>
          <cell r="C16">
            <v>168712.42</v>
          </cell>
          <cell r="D16">
            <v>772289.85</v>
          </cell>
          <cell r="E16">
            <v>779545.168</v>
          </cell>
          <cell r="F16">
            <v>158167.888</v>
          </cell>
          <cell r="G16">
            <v>937713.056</v>
          </cell>
          <cell r="H16">
            <v>58794.57</v>
          </cell>
          <cell r="I16">
            <v>34004.05</v>
          </cell>
          <cell r="J16">
            <v>92798.62</v>
          </cell>
          <cell r="K16">
            <v>67108.96</v>
          </cell>
          <cell r="L16">
            <v>26325.712</v>
          </cell>
          <cell r="M16">
            <v>93434.672</v>
          </cell>
          <cell r="N16">
            <v>740737.08</v>
          </cell>
          <cell r="O16">
            <v>832331.99</v>
          </cell>
          <cell r="P16">
            <v>70990.32</v>
          </cell>
          <cell r="Q16">
            <v>102491.38</v>
          </cell>
          <cell r="R16">
            <v>1676815.87</v>
          </cell>
          <cell r="S16">
            <v>1965971.098</v>
          </cell>
        </row>
        <row r="17">
          <cell r="A17" t="str">
            <v>PE</v>
          </cell>
          <cell r="B17">
            <v>1219395.81</v>
          </cell>
          <cell r="C17">
            <v>413684.7</v>
          </cell>
          <cell r="D17">
            <v>1633080.51</v>
          </cell>
          <cell r="E17">
            <v>1465865.048</v>
          </cell>
          <cell r="F17">
            <v>195462.536</v>
          </cell>
          <cell r="G17">
            <v>1661327.584</v>
          </cell>
          <cell r="H17">
            <v>93121.03</v>
          </cell>
          <cell r="I17">
            <v>35145.51</v>
          </cell>
          <cell r="J17">
            <v>128266.54</v>
          </cell>
          <cell r="K17">
            <v>118013.408</v>
          </cell>
          <cell r="L17">
            <v>26716.376</v>
          </cell>
          <cell r="M17">
            <v>144729.784</v>
          </cell>
          <cell r="N17">
            <v>1399666.32</v>
          </cell>
          <cell r="O17">
            <v>1582322.6</v>
          </cell>
          <cell r="P17">
            <v>140018.53</v>
          </cell>
          <cell r="Q17">
            <v>186360.9</v>
          </cell>
          <cell r="R17">
            <v>3301031.9</v>
          </cell>
          <cell r="S17">
            <v>3574740.868</v>
          </cell>
        </row>
        <row r="18">
          <cell r="A18" t="str">
            <v>PI</v>
          </cell>
          <cell r="B18">
            <v>324066.94</v>
          </cell>
          <cell r="C18">
            <v>155816.95</v>
          </cell>
          <cell r="D18">
            <v>479883.89</v>
          </cell>
          <cell r="E18">
            <v>441365.216</v>
          </cell>
          <cell r="F18">
            <v>55796.368</v>
          </cell>
          <cell r="G18">
            <v>497161.584</v>
          </cell>
          <cell r="H18">
            <v>49333.77</v>
          </cell>
          <cell r="I18">
            <v>37917.29</v>
          </cell>
          <cell r="J18">
            <v>87251.06</v>
          </cell>
          <cell r="K18">
            <v>58238.896</v>
          </cell>
          <cell r="L18">
            <v>10494.816</v>
          </cell>
          <cell r="M18">
            <v>68733.712</v>
          </cell>
          <cell r="N18">
            <v>358732.08</v>
          </cell>
          <cell r="O18">
            <v>415430.03</v>
          </cell>
          <cell r="P18">
            <v>45031.78</v>
          </cell>
          <cell r="Q18">
            <v>44159.64</v>
          </cell>
          <cell r="R18">
            <v>970898.81</v>
          </cell>
          <cell r="S18">
            <v>1025484.966</v>
          </cell>
        </row>
        <row r="19">
          <cell r="A19" t="str">
            <v>RN</v>
          </cell>
          <cell r="B19">
            <v>585039</v>
          </cell>
          <cell r="C19">
            <v>157137.49</v>
          </cell>
          <cell r="D19">
            <v>742176.49</v>
          </cell>
          <cell r="E19">
            <v>713019</v>
          </cell>
          <cell r="F19">
            <v>157137.488</v>
          </cell>
          <cell r="G19">
            <v>870156.488</v>
          </cell>
          <cell r="H19">
            <v>46798.61</v>
          </cell>
          <cell r="I19">
            <v>39673.75</v>
          </cell>
          <cell r="J19">
            <v>86472.36</v>
          </cell>
          <cell r="K19">
            <v>52927.456</v>
          </cell>
          <cell r="L19">
            <v>39673.744</v>
          </cell>
          <cell r="M19">
            <v>92601.2</v>
          </cell>
          <cell r="N19">
            <v>766204.08</v>
          </cell>
          <cell r="O19">
            <v>877269.09</v>
          </cell>
          <cell r="P19">
            <v>72532.86</v>
          </cell>
          <cell r="Q19">
            <v>81554.3</v>
          </cell>
          <cell r="R19">
            <v>1667385.79</v>
          </cell>
          <cell r="S19">
            <v>1921581.078</v>
          </cell>
        </row>
        <row r="20">
          <cell r="A20" t="str">
            <v>SE</v>
          </cell>
          <cell r="B20">
            <v>340847.92</v>
          </cell>
          <cell r="C20">
            <v>90592.66</v>
          </cell>
          <cell r="D20">
            <v>431440.58</v>
          </cell>
          <cell r="E20">
            <v>435012.928</v>
          </cell>
          <cell r="F20">
            <v>67014.96</v>
          </cell>
          <cell r="G20">
            <v>502027.888</v>
          </cell>
          <cell r="H20">
            <v>30126.93</v>
          </cell>
          <cell r="I20">
            <v>12640.26</v>
          </cell>
          <cell r="J20">
            <v>42767.19</v>
          </cell>
          <cell r="K20">
            <v>38758.576</v>
          </cell>
          <cell r="L20">
            <v>12640.256</v>
          </cell>
          <cell r="M20">
            <v>51398.832</v>
          </cell>
          <cell r="N20">
            <v>523836.6</v>
          </cell>
          <cell r="O20">
            <v>585134.67</v>
          </cell>
          <cell r="P20">
            <v>43774.89</v>
          </cell>
          <cell r="Q20">
            <v>49948.9</v>
          </cell>
          <cell r="R20">
            <v>1041819.26</v>
          </cell>
          <cell r="S20">
            <v>1188510.29</v>
          </cell>
        </row>
        <row r="21">
          <cell r="A21" t="str">
            <v>Soma (NE)</v>
          </cell>
          <cell r="B21">
            <v>6041416.13</v>
          </cell>
          <cell r="C21">
            <v>1688592.61</v>
          </cell>
          <cell r="D21">
            <v>7730008.74</v>
          </cell>
          <cell r="E21">
            <v>7584954.888</v>
          </cell>
          <cell r="F21">
            <v>1321317.992</v>
          </cell>
          <cell r="G21">
            <v>8906272.88</v>
          </cell>
          <cell r="H21">
            <v>602623.43</v>
          </cell>
          <cell r="I21">
            <v>326155.34</v>
          </cell>
          <cell r="J21">
            <v>928778.77</v>
          </cell>
          <cell r="K21">
            <v>690453.808</v>
          </cell>
          <cell r="L21">
            <v>282625.368</v>
          </cell>
          <cell r="M21">
            <v>973079.176</v>
          </cell>
          <cell r="N21">
            <v>7076456.52</v>
          </cell>
          <cell r="O21">
            <v>8011530.93</v>
          </cell>
          <cell r="P21">
            <v>712970.02</v>
          </cell>
          <cell r="Q21">
            <v>901274.81</v>
          </cell>
          <cell r="R21">
            <v>16448214.05</v>
          </cell>
          <cell r="S21">
            <v>18792157.796</v>
          </cell>
        </row>
        <row r="22">
          <cell r="A22" t="str">
            <v>DF</v>
          </cell>
          <cell r="B22">
            <v>1502059.5</v>
          </cell>
          <cell r="C22">
            <v>305742.58</v>
          </cell>
          <cell r="D22">
            <v>1807802.08</v>
          </cell>
          <cell r="E22">
            <v>1778840.456</v>
          </cell>
          <cell r="F22">
            <v>272509.688</v>
          </cell>
          <cell r="G22">
            <v>2051350.144</v>
          </cell>
          <cell r="H22">
            <v>124079.33</v>
          </cell>
          <cell r="I22">
            <v>53126.97</v>
          </cell>
          <cell r="J22">
            <v>177206.3</v>
          </cell>
          <cell r="K22">
            <v>133096.544</v>
          </cell>
          <cell r="L22">
            <v>53126.96</v>
          </cell>
          <cell r="M22">
            <v>186223.504</v>
          </cell>
          <cell r="N22">
            <v>1375453.08</v>
          </cell>
          <cell r="O22">
            <v>1539550.1</v>
          </cell>
          <cell r="P22">
            <v>164922.48</v>
          </cell>
          <cell r="Q22">
            <v>216423.76</v>
          </cell>
          <cell r="R22">
            <v>3525383.94</v>
          </cell>
          <cell r="S22">
            <v>3993547.508</v>
          </cell>
        </row>
        <row r="23">
          <cell r="A23" t="str">
            <v>GO</v>
          </cell>
          <cell r="B23">
            <v>1190349.76</v>
          </cell>
          <cell r="C23">
            <v>320000</v>
          </cell>
          <cell r="D23">
            <v>1510349.76</v>
          </cell>
          <cell r="E23">
            <v>1379093.664</v>
          </cell>
          <cell r="F23">
            <v>221931.152</v>
          </cell>
          <cell r="G23">
            <v>1601024.816</v>
          </cell>
          <cell r="H23">
            <v>67509.06</v>
          </cell>
          <cell r="I23">
            <v>35468.36</v>
          </cell>
          <cell r="J23">
            <v>102977.42</v>
          </cell>
          <cell r="K23">
            <v>82964.976</v>
          </cell>
          <cell r="L23">
            <v>90843.424</v>
          </cell>
          <cell r="M23">
            <v>173808.4</v>
          </cell>
          <cell r="N23">
            <v>2355501.6</v>
          </cell>
          <cell r="O23">
            <v>2651635</v>
          </cell>
          <cell r="P23">
            <v>138930.79</v>
          </cell>
          <cell r="Q23">
            <v>158024.91</v>
          </cell>
          <cell r="R23">
            <v>4107759.57</v>
          </cell>
          <cell r="S23">
            <v>4584493.126</v>
          </cell>
        </row>
        <row r="24">
          <cell r="A24" t="str">
            <v>MS</v>
          </cell>
          <cell r="B24">
            <v>719217.36</v>
          </cell>
          <cell r="C24">
            <v>228507.67</v>
          </cell>
          <cell r="D24">
            <v>947725.03</v>
          </cell>
          <cell r="E24">
            <v>854276.048</v>
          </cell>
          <cell r="F24">
            <v>228507.672</v>
          </cell>
          <cell r="G24">
            <v>1082783.72</v>
          </cell>
          <cell r="H24">
            <v>101863.53</v>
          </cell>
          <cell r="I24">
            <v>53173.91</v>
          </cell>
          <cell r="J24">
            <v>155037.44</v>
          </cell>
          <cell r="K24">
            <v>121900.352</v>
          </cell>
          <cell r="L24">
            <v>53173.904</v>
          </cell>
          <cell r="M24">
            <v>175074.256</v>
          </cell>
          <cell r="N24">
            <v>1716084</v>
          </cell>
          <cell r="O24">
            <v>1860776.74</v>
          </cell>
          <cell r="P24">
            <v>118731.94</v>
          </cell>
          <cell r="Q24">
            <v>144739.52</v>
          </cell>
          <cell r="R24">
            <v>2937578.41</v>
          </cell>
          <cell r="S24">
            <v>3263374.236</v>
          </cell>
        </row>
        <row r="25">
          <cell r="A25" t="str">
            <v>MT</v>
          </cell>
          <cell r="B25">
            <v>841814.47</v>
          </cell>
          <cell r="C25">
            <v>174745.13</v>
          </cell>
          <cell r="D25">
            <v>1016559.6</v>
          </cell>
          <cell r="E25">
            <v>1059141.168</v>
          </cell>
          <cell r="F25">
            <v>128444.176</v>
          </cell>
          <cell r="G25">
            <v>1187585.344</v>
          </cell>
          <cell r="H25">
            <v>87310.15</v>
          </cell>
          <cell r="I25">
            <v>47635.46</v>
          </cell>
          <cell r="J25">
            <v>134945.61</v>
          </cell>
          <cell r="K25">
            <v>108266.904</v>
          </cell>
          <cell r="L25">
            <v>47635.456</v>
          </cell>
          <cell r="M25">
            <v>155902.36</v>
          </cell>
          <cell r="N25">
            <v>2611503.72</v>
          </cell>
          <cell r="O25">
            <v>2977710.34</v>
          </cell>
          <cell r="P25">
            <v>116110.46</v>
          </cell>
          <cell r="Q25">
            <v>129635.94</v>
          </cell>
          <cell r="R25">
            <v>3879119.39</v>
          </cell>
          <cell r="S25">
            <v>4450833.984</v>
          </cell>
        </row>
        <row r="26">
          <cell r="A26" t="str">
            <v>Soma (CO)</v>
          </cell>
          <cell r="B26">
            <v>4253441.09</v>
          </cell>
          <cell r="C26">
            <v>1028995.38</v>
          </cell>
          <cell r="D26">
            <v>5282436.47</v>
          </cell>
          <cell r="E26">
            <v>5071351.336</v>
          </cell>
          <cell r="F26">
            <v>851392.688</v>
          </cell>
          <cell r="G26">
            <v>5922744.024</v>
          </cell>
          <cell r="H26">
            <v>380762.07</v>
          </cell>
          <cell r="I26">
            <v>189404.7</v>
          </cell>
          <cell r="J26">
            <v>570166.77</v>
          </cell>
          <cell r="K26">
            <v>446228.776</v>
          </cell>
          <cell r="L26">
            <v>244779.744</v>
          </cell>
          <cell r="M26">
            <v>691008.52</v>
          </cell>
          <cell r="N26">
            <v>8058542.4</v>
          </cell>
          <cell r="O26">
            <v>9029672.18</v>
          </cell>
          <cell r="P26">
            <v>538695.67</v>
          </cell>
          <cell r="Q26">
            <v>648824.13</v>
          </cell>
          <cell r="R26">
            <v>14449841.31</v>
          </cell>
          <cell r="S26">
            <v>16292248.854</v>
          </cell>
        </row>
        <row r="27">
          <cell r="A27" t="str">
            <v>ES</v>
          </cell>
          <cell r="B27">
            <v>1083868.63</v>
          </cell>
          <cell r="C27">
            <v>243910.55</v>
          </cell>
          <cell r="D27">
            <v>1327779.18</v>
          </cell>
          <cell r="E27">
            <v>1437738.376</v>
          </cell>
          <cell r="F27">
            <v>82239.352</v>
          </cell>
          <cell r="G27">
            <v>1519977.728</v>
          </cell>
          <cell r="H27">
            <v>101755.51</v>
          </cell>
          <cell r="I27">
            <v>35634.04</v>
          </cell>
          <cell r="J27">
            <v>137389.55</v>
          </cell>
          <cell r="K27">
            <v>128752.432</v>
          </cell>
          <cell r="L27">
            <v>14149.88</v>
          </cell>
          <cell r="M27">
            <v>142902.312</v>
          </cell>
          <cell r="N27">
            <v>1164272.88</v>
          </cell>
          <cell r="O27">
            <v>1327246.14</v>
          </cell>
          <cell r="P27">
            <v>97735.84</v>
          </cell>
          <cell r="Q27">
            <v>149580.47</v>
          </cell>
          <cell r="R27">
            <v>2727177.45</v>
          </cell>
          <cell r="S27">
            <v>3139706.65</v>
          </cell>
        </row>
        <row r="28">
          <cell r="A28" t="str">
            <v>MG</v>
          </cell>
          <cell r="B28">
            <v>3864411.66</v>
          </cell>
          <cell r="C28">
            <v>989040.98</v>
          </cell>
          <cell r="D28">
            <v>4853452.64</v>
          </cell>
          <cell r="E28">
            <v>4786978.784</v>
          </cell>
          <cell r="F28">
            <v>672571.16</v>
          </cell>
          <cell r="G28">
            <v>5459549.944</v>
          </cell>
          <cell r="H28">
            <v>357589.7</v>
          </cell>
          <cell r="I28">
            <v>135682.07</v>
          </cell>
          <cell r="J28">
            <v>493271.77</v>
          </cell>
          <cell r="K28">
            <v>430923.352</v>
          </cell>
          <cell r="L28">
            <v>80833.144</v>
          </cell>
          <cell r="M28">
            <v>511756.496</v>
          </cell>
          <cell r="N28">
            <v>4407201.48</v>
          </cell>
          <cell r="O28">
            <v>4935114.83</v>
          </cell>
          <cell r="P28">
            <v>467067.51</v>
          </cell>
          <cell r="Q28">
            <v>592965.98</v>
          </cell>
          <cell r="R28">
            <v>10220993.4</v>
          </cell>
          <cell r="S28">
            <v>11499387.25</v>
          </cell>
        </row>
        <row r="29">
          <cell r="A29" t="str">
            <v>RJ</v>
          </cell>
          <cell r="B29">
            <v>4118030.05</v>
          </cell>
          <cell r="C29">
            <v>1358695.97</v>
          </cell>
          <cell r="D29">
            <v>5476726.02</v>
          </cell>
          <cell r="E29">
            <v>4637544.568</v>
          </cell>
          <cell r="F29">
            <v>1377724.632</v>
          </cell>
          <cell r="G29">
            <v>6015269.2</v>
          </cell>
          <cell r="H29">
            <v>576993.97</v>
          </cell>
          <cell r="I29">
            <v>300519.21</v>
          </cell>
          <cell r="J29">
            <v>877513.18</v>
          </cell>
          <cell r="K29">
            <v>613813.024</v>
          </cell>
          <cell r="L29">
            <v>307902.504</v>
          </cell>
          <cell r="M29">
            <v>921715.528</v>
          </cell>
          <cell r="N29">
            <v>4213417.2</v>
          </cell>
          <cell r="O29">
            <v>5158328.38</v>
          </cell>
          <cell r="P29">
            <v>463547.14</v>
          </cell>
          <cell r="Q29">
            <v>665242.22</v>
          </cell>
          <cell r="R29">
            <v>11031203.54</v>
          </cell>
          <cell r="S29">
            <v>12760555.328</v>
          </cell>
        </row>
        <row r="30">
          <cell r="A30" t="str">
            <v>SP</v>
          </cell>
          <cell r="B30">
            <v>14462994.97</v>
          </cell>
          <cell r="C30">
            <v>3454785.65</v>
          </cell>
          <cell r="D30">
            <v>17917780.61</v>
          </cell>
          <cell r="E30">
            <v>17642934.056</v>
          </cell>
          <cell r="F30">
            <v>3147567.4</v>
          </cell>
          <cell r="G30">
            <v>20790501.456</v>
          </cell>
          <cell r="H30">
            <v>1511169.7</v>
          </cell>
          <cell r="I30">
            <v>433573.5</v>
          </cell>
          <cell r="J30">
            <v>1944743.2</v>
          </cell>
          <cell r="K30">
            <v>1729808.008</v>
          </cell>
          <cell r="L30">
            <v>422009.976</v>
          </cell>
          <cell r="M30">
            <v>2151817.984</v>
          </cell>
          <cell r="N30">
            <v>26818788.36</v>
          </cell>
          <cell r="O30">
            <v>30198334.6</v>
          </cell>
          <cell r="P30">
            <v>1630098.86</v>
          </cell>
          <cell r="Q30">
            <v>1700500.93</v>
          </cell>
          <cell r="R30">
            <v>48311411.03</v>
          </cell>
          <cell r="S30">
            <v>54841154.97</v>
          </cell>
        </row>
        <row r="31">
          <cell r="A31" t="str">
            <v>Soma (SE)</v>
          </cell>
          <cell r="B31">
            <v>23529305.31</v>
          </cell>
          <cell r="C31">
            <v>6046433.15</v>
          </cell>
          <cell r="D31">
            <v>29575738.45</v>
          </cell>
          <cell r="E31">
            <v>28505195.784</v>
          </cell>
          <cell r="F31">
            <v>5280102.544</v>
          </cell>
          <cell r="G31">
            <v>33785298.328</v>
          </cell>
          <cell r="H31">
            <v>2547508.88</v>
          </cell>
          <cell r="I31">
            <v>905408.82</v>
          </cell>
          <cell r="J31">
            <v>3452917.7</v>
          </cell>
          <cell r="K31">
            <v>2903296.816</v>
          </cell>
          <cell r="L31">
            <v>824895.504</v>
          </cell>
          <cell r="M31">
            <v>3728192.32</v>
          </cell>
          <cell r="N31">
            <v>36603679.92</v>
          </cell>
          <cell r="O31">
            <v>41619023.95</v>
          </cell>
          <cell r="P31">
            <v>2658449.35</v>
          </cell>
          <cell r="Q31">
            <v>3108289.6</v>
          </cell>
          <cell r="R31">
            <v>72290785.42</v>
          </cell>
          <cell r="S31">
            <v>82240804.198</v>
          </cell>
        </row>
        <row r="32">
          <cell r="A32" t="str">
            <v>PR</v>
          </cell>
          <cell r="B32">
            <v>3295161.96</v>
          </cell>
          <cell r="C32">
            <v>597154.62</v>
          </cell>
          <cell r="D32">
            <v>3892316.58</v>
          </cell>
          <cell r="E32">
            <v>3584729.552</v>
          </cell>
          <cell r="F32">
            <v>483287.376</v>
          </cell>
          <cell r="G32">
            <v>4068016.928</v>
          </cell>
          <cell r="H32">
            <v>459414.76</v>
          </cell>
          <cell r="I32">
            <v>136120.98</v>
          </cell>
          <cell r="J32">
            <v>595535.74</v>
          </cell>
          <cell r="K32">
            <v>492594.6</v>
          </cell>
          <cell r="L32">
            <v>130089.736</v>
          </cell>
          <cell r="M32">
            <v>622684.336</v>
          </cell>
          <cell r="N32">
            <v>6182917.44</v>
          </cell>
          <cell r="O32">
            <v>6433970.46</v>
          </cell>
          <cell r="P32">
            <v>397911.73</v>
          </cell>
          <cell r="Q32">
            <v>444986.87</v>
          </cell>
          <cell r="R32">
            <v>11068681.49</v>
          </cell>
          <cell r="S32">
            <v>11569658.594</v>
          </cell>
        </row>
        <row r="33">
          <cell r="A33" t="str">
            <v>RS</v>
          </cell>
          <cell r="B33">
            <v>4135007.87</v>
          </cell>
          <cell r="C33">
            <v>674682.09</v>
          </cell>
          <cell r="D33">
            <v>4809689.96</v>
          </cell>
          <cell r="E33">
            <v>4734720.096</v>
          </cell>
          <cell r="F33">
            <v>674682.096</v>
          </cell>
          <cell r="G33">
            <v>5409402.192</v>
          </cell>
          <cell r="H33">
            <v>515100.73</v>
          </cell>
          <cell r="I33">
            <v>201265.53</v>
          </cell>
          <cell r="J33">
            <v>716366.26</v>
          </cell>
          <cell r="K33">
            <v>608680.912</v>
          </cell>
          <cell r="L33">
            <v>201265.528</v>
          </cell>
          <cell r="M33">
            <v>809946.44</v>
          </cell>
          <cell r="N33">
            <v>7347973.92</v>
          </cell>
          <cell r="O33">
            <v>8176300.29</v>
          </cell>
          <cell r="P33">
            <v>473674.79</v>
          </cell>
          <cell r="Q33">
            <v>575825.96</v>
          </cell>
          <cell r="R33">
            <v>13347704.93</v>
          </cell>
          <cell r="S33">
            <v>14971474.882</v>
          </cell>
        </row>
        <row r="34">
          <cell r="A34" t="str">
            <v>SC</v>
          </cell>
          <cell r="B34">
            <v>2795823.03</v>
          </cell>
          <cell r="C34">
            <v>531290.59</v>
          </cell>
          <cell r="D34">
            <v>3327113.62</v>
          </cell>
          <cell r="E34">
            <v>3476552.376</v>
          </cell>
          <cell r="F34">
            <v>455971.648</v>
          </cell>
          <cell r="G34">
            <v>3932524.024</v>
          </cell>
          <cell r="H34">
            <v>351243.78</v>
          </cell>
          <cell r="I34">
            <v>92983.79</v>
          </cell>
          <cell r="J34">
            <v>444227.57</v>
          </cell>
          <cell r="K34">
            <v>386045.136</v>
          </cell>
          <cell r="L34">
            <v>92983.784</v>
          </cell>
          <cell r="M34">
            <v>479028.92</v>
          </cell>
          <cell r="N34">
            <v>4717193.64</v>
          </cell>
          <cell r="O34">
            <v>5290282.4</v>
          </cell>
          <cell r="P34">
            <v>262870.02</v>
          </cell>
          <cell r="Q34">
            <v>291055.06</v>
          </cell>
          <cell r="R34">
            <v>8751404.85</v>
          </cell>
          <cell r="S34">
            <v>9992890.404</v>
          </cell>
        </row>
        <row r="35">
          <cell r="A35" t="str">
            <v>Soma (S)</v>
          </cell>
          <cell r="B35">
            <v>10225992.86</v>
          </cell>
          <cell r="C35">
            <v>1803127.3</v>
          </cell>
          <cell r="D35">
            <v>12029120.16</v>
          </cell>
          <cell r="E35">
            <v>11796002.024</v>
          </cell>
          <cell r="F35">
            <v>1613941.12</v>
          </cell>
          <cell r="G35">
            <v>13409943.144</v>
          </cell>
          <cell r="H35">
            <v>1325759.27</v>
          </cell>
          <cell r="I35">
            <v>430370.3</v>
          </cell>
          <cell r="J35">
            <v>1756129.57</v>
          </cell>
          <cell r="K35">
            <v>1487320.648</v>
          </cell>
          <cell r="L35">
            <v>424339.048</v>
          </cell>
          <cell r="M35">
            <v>1911659.696</v>
          </cell>
          <cell r="N35">
            <v>18248085</v>
          </cell>
          <cell r="O35">
            <v>19900553.15</v>
          </cell>
          <cell r="P35">
            <v>1134456.54</v>
          </cell>
          <cell r="Q35">
            <v>1311867.89</v>
          </cell>
          <cell r="R35">
            <v>33167791.27</v>
          </cell>
          <cell r="S35">
            <v>36534023.88</v>
          </cell>
        </row>
        <row r="36">
          <cell r="A36" t="str">
            <v>TOTAL</v>
          </cell>
          <cell r="B36">
            <v>45777828.99</v>
          </cell>
          <cell r="C36">
            <v>11165969.4</v>
          </cell>
          <cell r="D36">
            <v>56943798.38</v>
          </cell>
          <cell r="E36">
            <v>55201128.296</v>
          </cell>
          <cell r="F36">
            <v>9641021.318</v>
          </cell>
          <cell r="G36">
            <v>64842149.584</v>
          </cell>
          <cell r="H36">
            <v>5061099.06</v>
          </cell>
          <cell r="I36">
            <v>1968341.73</v>
          </cell>
          <cell r="J36">
            <v>7029440.79</v>
          </cell>
          <cell r="K36">
            <v>5764006.2</v>
          </cell>
          <cell r="L36">
            <v>1893642.248</v>
          </cell>
          <cell r="M36">
            <v>7657648.448</v>
          </cell>
          <cell r="N36">
            <v>72902147.64</v>
          </cell>
          <cell r="O36">
            <v>81933659.95</v>
          </cell>
          <cell r="P36">
            <v>5292655.89</v>
          </cell>
          <cell r="Q36">
            <v>6285870.25</v>
          </cell>
          <cell r="R36">
            <v>142168042.7</v>
          </cell>
          <cell r="S36">
            <v>160719328.232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ras de Descontos - PF e PJ"/>
      <sheetName val="PF e PJ - com desconto"/>
      <sheetName val="Quadro 1 - AÇÕES ESTRATÉGICAS"/>
      <sheetName val="Quadro 2"/>
      <sheetName val="Quadro 3"/>
      <sheetName val="Quadro 4"/>
      <sheetName val="Quadros 5 6 7"/>
      <sheetName val="Anexo IV- Qde e Valor 100%"/>
      <sheetName val="Anexo III- Qde Prof_Empr_RRT"/>
      <sheetName val="Anexo V-Resumo Valor 80% "/>
      <sheetName val="Alterações ou Resumo do CAU_UF"/>
      <sheetName val="Anexo VI-Repasse Fundo de Apoio"/>
      <sheetName val="Anexo VI.I-Aporte do FA"/>
      <sheetName val="Anexo VII- CSC - SERV."/>
      <sheetName val="Anexo VII.I-CSC-Teleatendimento"/>
      <sheetName val="Anexo VII.II-CSC -ESSENCIAIS"/>
      <sheetName val="Anexo VII.III- SISCAF"/>
      <sheetName val="GERAL_CSC"/>
      <sheetName val=" Anexo VIII-TARIFAS BANCÁRIAS"/>
      <sheetName val="Anexo X.I-Projeções (80 e 100)"/>
      <sheetName val="PF - Projeção"/>
      <sheetName val="Anexo X.II-Anuidades PF"/>
      <sheetName val="PJ - Projeção"/>
      <sheetName val="RRT"/>
      <sheetName val="Anexo X.III- Anuidades PJ"/>
      <sheetName val="Anexo X.IV- RRT "/>
      <sheetName val="Taxas e Multas"/>
      <sheetName val="Anexo X.V-Taxas e Multas"/>
      <sheetName val="Estudos-Percentuais"/>
      <sheetName val="Exerc.Anteriores PF-PJ"/>
      <sheetName val="PASSAGENS_2022"/>
      <sheetName val="Arrecadação_Aportes "/>
      <sheetName val="APRESENTAÇÃO  2022"/>
      <sheetName val="Aporte_Arrecadação(2)"/>
      <sheetName val="ANEXO XI.I"/>
      <sheetName val="EMPRESAS"/>
      <sheetName val="CSC_TAQ e Telefon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AC</v>
          </cell>
          <cell r="B5">
            <v>678</v>
          </cell>
          <cell r="C5">
            <v>736</v>
          </cell>
          <cell r="D5">
            <v>8.55457227138643</v>
          </cell>
          <cell r="E5">
            <v>673</v>
          </cell>
          <cell r="F5">
            <v>725</v>
          </cell>
          <cell r="G5">
            <v>7.72659732540862</v>
          </cell>
          <cell r="H5">
            <v>430</v>
          </cell>
          <cell r="I5">
            <v>463</v>
          </cell>
          <cell r="J5">
            <v>7.67441860465117</v>
          </cell>
          <cell r="K5">
            <v>36.1069836552749</v>
          </cell>
          <cell r="L5">
            <v>36.1379310344828</v>
          </cell>
          <cell r="M5">
            <v>0.0309473792078663</v>
          </cell>
          <cell r="N5">
            <v>141</v>
          </cell>
          <cell r="O5">
            <v>146</v>
          </cell>
          <cell r="P5">
            <v>3.54609929078013</v>
          </cell>
          <cell r="Q5">
            <v>68</v>
          </cell>
          <cell r="R5">
            <v>70</v>
          </cell>
          <cell r="S5">
            <v>2.94117647058823</v>
          </cell>
          <cell r="T5">
            <v>51.7730496453901</v>
          </cell>
          <cell r="U5">
            <v>52.054794520548</v>
          </cell>
          <cell r="V5">
            <v>0.281744875157877</v>
          </cell>
          <cell r="W5">
            <v>2631</v>
          </cell>
          <cell r="X5">
            <v>2724</v>
          </cell>
        </row>
        <row r="6">
          <cell r="A6" t="str">
            <v>AM</v>
          </cell>
          <cell r="B6">
            <v>1900</v>
          </cell>
          <cell r="C6">
            <v>2200</v>
          </cell>
          <cell r="D6">
            <v>15.7894736842105</v>
          </cell>
          <cell r="E6">
            <v>1889</v>
          </cell>
          <cell r="F6">
            <v>2182</v>
          </cell>
          <cell r="G6">
            <v>15.5108523028057</v>
          </cell>
          <cell r="H6">
            <v>1279</v>
          </cell>
          <cell r="I6">
            <v>1474</v>
          </cell>
          <cell r="J6">
            <v>15.2462861610633</v>
          </cell>
          <cell r="K6">
            <v>32.2922181048174</v>
          </cell>
          <cell r="L6">
            <v>32.4472960586618</v>
          </cell>
          <cell r="M6">
            <v>0.155077953844412</v>
          </cell>
          <cell r="N6">
            <v>249</v>
          </cell>
          <cell r="O6">
            <v>260</v>
          </cell>
          <cell r="P6">
            <v>4.41767068273093</v>
          </cell>
          <cell r="Q6">
            <v>118</v>
          </cell>
          <cell r="R6">
            <v>123</v>
          </cell>
          <cell r="S6">
            <v>4.23728813559323</v>
          </cell>
          <cell r="T6">
            <v>52.6104417670683</v>
          </cell>
          <cell r="U6">
            <v>52.6923076923077</v>
          </cell>
          <cell r="V6">
            <v>0.0818659252394198</v>
          </cell>
          <cell r="W6">
            <v>5997</v>
          </cell>
          <cell r="X6">
            <v>6704</v>
          </cell>
        </row>
        <row r="7">
          <cell r="A7" t="str">
            <v>AP</v>
          </cell>
          <cell r="B7">
            <v>802</v>
          </cell>
          <cell r="C7">
            <v>859.6</v>
          </cell>
          <cell r="D7">
            <v>7.18204488778056</v>
          </cell>
          <cell r="E7">
            <v>801</v>
          </cell>
          <cell r="F7">
            <v>853.6</v>
          </cell>
          <cell r="G7">
            <v>6.56679151061175</v>
          </cell>
          <cell r="H7">
            <v>462</v>
          </cell>
          <cell r="I7">
            <v>520</v>
          </cell>
          <cell r="J7">
            <v>12.5541125541126</v>
          </cell>
          <cell r="K7">
            <v>42.3220973782772</v>
          </cell>
          <cell r="L7">
            <v>39.0815370196814</v>
          </cell>
          <cell r="M7">
            <v>-3.2405603585958</v>
          </cell>
          <cell r="N7">
            <v>282</v>
          </cell>
          <cell r="O7">
            <v>292</v>
          </cell>
          <cell r="P7">
            <v>3.54609929078013</v>
          </cell>
          <cell r="Q7">
            <v>84</v>
          </cell>
          <cell r="R7">
            <v>87</v>
          </cell>
          <cell r="S7">
            <v>3.57142857142858</v>
          </cell>
          <cell r="T7">
            <v>70.2127659574468</v>
          </cell>
          <cell r="U7">
            <v>70.2054794520548</v>
          </cell>
          <cell r="V7">
            <v>-0.00728650539201681</v>
          </cell>
          <cell r="W7">
            <v>3314</v>
          </cell>
          <cell r="X7">
            <v>3432</v>
          </cell>
        </row>
        <row r="8">
          <cell r="A8" t="str">
            <v>PA</v>
          </cell>
          <cell r="B8">
            <v>3022</v>
          </cell>
          <cell r="C8">
            <v>3191.6</v>
          </cell>
          <cell r="D8">
            <v>5.61217736598279</v>
          </cell>
          <cell r="E8">
            <v>2909</v>
          </cell>
          <cell r="F8">
            <v>3024.6</v>
          </cell>
          <cell r="G8">
            <v>3.97387418356823</v>
          </cell>
          <cell r="H8">
            <v>1594</v>
          </cell>
          <cell r="I8">
            <v>1745</v>
          </cell>
          <cell r="J8">
            <v>9.47302383939774</v>
          </cell>
          <cell r="K8">
            <v>45.2045376418013</v>
          </cell>
          <cell r="L8">
            <v>42.3064206837268</v>
          </cell>
          <cell r="M8">
            <v>-2.89811695807452</v>
          </cell>
          <cell r="N8">
            <v>405</v>
          </cell>
          <cell r="O8">
            <v>435</v>
          </cell>
          <cell r="P8">
            <v>7.40740740740742</v>
          </cell>
          <cell r="Q8">
            <v>127</v>
          </cell>
          <cell r="R8">
            <v>136</v>
          </cell>
          <cell r="S8">
            <v>7.08661417322836</v>
          </cell>
          <cell r="T8">
            <v>68.641975308642</v>
          </cell>
          <cell r="U8">
            <v>68.7356321839081</v>
          </cell>
          <cell r="V8">
            <v>0.0936568752660776</v>
          </cell>
          <cell r="W8">
            <v>8050</v>
          </cell>
          <cell r="X8">
            <v>8294</v>
          </cell>
        </row>
        <row r="9">
          <cell r="A9" t="str">
            <v>RO</v>
          </cell>
          <cell r="B9">
            <v>1337</v>
          </cell>
          <cell r="C9">
            <v>1461.8</v>
          </cell>
          <cell r="D9">
            <v>9.3343305908751</v>
          </cell>
          <cell r="E9">
            <v>1330</v>
          </cell>
          <cell r="F9">
            <v>1442.8</v>
          </cell>
          <cell r="G9">
            <v>8.4812030075188</v>
          </cell>
          <cell r="H9">
            <v>956</v>
          </cell>
          <cell r="I9">
            <v>1030</v>
          </cell>
          <cell r="J9">
            <v>7.74058577405859</v>
          </cell>
          <cell r="K9">
            <v>28.1203007518797</v>
          </cell>
          <cell r="L9">
            <v>28.6110341003604</v>
          </cell>
          <cell r="M9">
            <v>0.490733348480717</v>
          </cell>
          <cell r="N9">
            <v>233</v>
          </cell>
          <cell r="O9">
            <v>241</v>
          </cell>
          <cell r="P9">
            <v>3.43347639484979</v>
          </cell>
          <cell r="Q9">
            <v>105</v>
          </cell>
          <cell r="R9">
            <v>109</v>
          </cell>
          <cell r="S9">
            <v>3.80952380952382</v>
          </cell>
          <cell r="T9">
            <v>54.9356223175966</v>
          </cell>
          <cell r="U9">
            <v>54.7717842323651</v>
          </cell>
          <cell r="V9">
            <v>-0.163838085231426</v>
          </cell>
          <cell r="W9">
            <v>10528</v>
          </cell>
          <cell r="X9">
            <v>11007</v>
          </cell>
        </row>
        <row r="10">
          <cell r="A10" t="str">
            <v>RR</v>
          </cell>
          <cell r="B10">
            <v>239</v>
          </cell>
          <cell r="C10">
            <v>250</v>
          </cell>
          <cell r="D10">
            <v>4.60251046025104</v>
          </cell>
          <cell r="E10">
            <v>232</v>
          </cell>
          <cell r="F10">
            <v>241</v>
          </cell>
          <cell r="G10">
            <v>3.87931034482759</v>
          </cell>
          <cell r="H10">
            <v>149</v>
          </cell>
          <cell r="I10">
            <v>156</v>
          </cell>
          <cell r="J10">
            <v>4.69798657718121</v>
          </cell>
          <cell r="K10">
            <v>35.7758620689655</v>
          </cell>
          <cell r="L10">
            <v>35.2697095435685</v>
          </cell>
          <cell r="M10">
            <v>-0.506152525397042</v>
          </cell>
          <cell r="N10">
            <v>62</v>
          </cell>
          <cell r="O10">
            <v>64</v>
          </cell>
          <cell r="P10">
            <v>3.2258064516129</v>
          </cell>
          <cell r="Q10">
            <v>21</v>
          </cell>
          <cell r="R10">
            <v>22</v>
          </cell>
          <cell r="S10">
            <v>4.76190476190477</v>
          </cell>
          <cell r="T10">
            <v>66.1290322580645</v>
          </cell>
          <cell r="U10">
            <v>65.625</v>
          </cell>
          <cell r="V10">
            <v>-0.504032258064512</v>
          </cell>
          <cell r="W10">
            <v>1258</v>
          </cell>
          <cell r="X10">
            <v>1269</v>
          </cell>
        </row>
        <row r="11">
          <cell r="A11" t="str">
            <v>TO</v>
          </cell>
          <cell r="B11">
            <v>828</v>
          </cell>
          <cell r="C11">
            <v>873</v>
          </cell>
          <cell r="D11">
            <v>5.43478260869566</v>
          </cell>
          <cell r="E11">
            <v>815</v>
          </cell>
          <cell r="F11">
            <v>854</v>
          </cell>
          <cell r="G11">
            <v>4.78527607361963</v>
          </cell>
          <cell r="H11">
            <v>586</v>
          </cell>
          <cell r="I11">
            <v>616</v>
          </cell>
          <cell r="J11">
            <v>5.11945392491468</v>
          </cell>
          <cell r="K11">
            <v>28.0981595092025</v>
          </cell>
          <cell r="L11">
            <v>27.8688524590164</v>
          </cell>
          <cell r="M11">
            <v>-0.229307050186065</v>
          </cell>
          <cell r="N11">
            <v>206</v>
          </cell>
          <cell r="O11">
            <v>213</v>
          </cell>
          <cell r="P11">
            <v>3.39805825242718</v>
          </cell>
          <cell r="Q11">
            <v>75</v>
          </cell>
          <cell r="R11">
            <v>78</v>
          </cell>
          <cell r="S11">
            <v>4</v>
          </cell>
          <cell r="T11">
            <v>63.5922330097087</v>
          </cell>
          <cell r="U11">
            <v>63.3802816901408</v>
          </cell>
          <cell r="V11">
            <v>-0.211951319567895</v>
          </cell>
          <cell r="W11">
            <v>5427</v>
          </cell>
          <cell r="X11">
            <v>5525</v>
          </cell>
        </row>
        <row r="12">
          <cell r="A12" t="str">
            <v>Soma (N)</v>
          </cell>
          <cell r="B12">
            <v>8806</v>
          </cell>
          <cell r="C12">
            <v>9572</v>
          </cell>
          <cell r="D12">
            <v>8.69861458096753</v>
          </cell>
          <cell r="E12">
            <v>8649</v>
          </cell>
          <cell r="F12">
            <v>9323</v>
          </cell>
          <cell r="G12">
            <v>7.79280841715806</v>
          </cell>
          <cell r="H12">
            <v>5456</v>
          </cell>
          <cell r="I12">
            <v>6004</v>
          </cell>
          <cell r="J12">
            <v>10.0439882697947</v>
          </cell>
          <cell r="K12">
            <v>36.9175627240143</v>
          </cell>
          <cell r="L12">
            <v>35.6001287139333</v>
          </cell>
          <cell r="M12">
            <v>-1.31743401008105</v>
          </cell>
          <cell r="N12">
            <v>1578</v>
          </cell>
          <cell r="O12">
            <v>1651</v>
          </cell>
          <cell r="P12">
            <v>4.62610899873258</v>
          </cell>
          <cell r="Q12">
            <v>598</v>
          </cell>
          <cell r="R12">
            <v>625</v>
          </cell>
          <cell r="S12">
            <v>4.51505016722409</v>
          </cell>
          <cell r="T12">
            <v>62.1039290240811</v>
          </cell>
          <cell r="U12">
            <v>62.1441550575409</v>
          </cell>
          <cell r="V12">
            <v>0.0402260334597671</v>
          </cell>
          <cell r="W12">
            <v>37205</v>
          </cell>
          <cell r="X12">
            <v>38955</v>
          </cell>
        </row>
        <row r="13">
          <cell r="A13" t="str">
            <v>AL</v>
          </cell>
          <cell r="B13">
            <v>2099</v>
          </cell>
          <cell r="C13">
            <v>2183</v>
          </cell>
          <cell r="D13">
            <v>4.00190566936635</v>
          </cell>
          <cell r="E13">
            <v>2051</v>
          </cell>
          <cell r="F13">
            <v>2095</v>
          </cell>
          <cell r="G13">
            <v>2.14529497805948</v>
          </cell>
          <cell r="H13">
            <v>1358</v>
          </cell>
          <cell r="I13">
            <v>1416</v>
          </cell>
          <cell r="J13">
            <v>4.27098674521356</v>
          </cell>
          <cell r="K13">
            <v>33.7883959044369</v>
          </cell>
          <cell r="L13">
            <v>32.4105011933174</v>
          </cell>
          <cell r="M13">
            <v>-1.37789471111945</v>
          </cell>
          <cell r="N13">
            <v>166</v>
          </cell>
          <cell r="O13">
            <v>174</v>
          </cell>
          <cell r="P13">
            <v>4.81927710843372</v>
          </cell>
          <cell r="Q13">
            <v>72</v>
          </cell>
          <cell r="R13">
            <v>75</v>
          </cell>
          <cell r="S13">
            <v>4.16666666666667</v>
          </cell>
          <cell r="T13">
            <v>56.6265060240964</v>
          </cell>
          <cell r="U13">
            <v>56.8965517241379</v>
          </cell>
          <cell r="V13">
            <v>0.27004570004155</v>
          </cell>
          <cell r="W13">
            <v>7110</v>
          </cell>
          <cell r="X13">
            <v>7198</v>
          </cell>
        </row>
        <row r="14">
          <cell r="A14" t="str">
            <v>BA</v>
          </cell>
          <cell r="B14">
            <v>6994</v>
          </cell>
          <cell r="C14">
            <v>7366.3</v>
          </cell>
          <cell r="D14">
            <v>5.32313411495568</v>
          </cell>
          <cell r="E14">
            <v>6275</v>
          </cell>
          <cell r="F14">
            <v>6563.3</v>
          </cell>
          <cell r="G14">
            <v>4.59442231075697</v>
          </cell>
          <cell r="H14">
            <v>4339</v>
          </cell>
          <cell r="I14">
            <v>4538</v>
          </cell>
          <cell r="J14">
            <v>4.58631020972575</v>
          </cell>
          <cell r="K14">
            <v>30.8525896414343</v>
          </cell>
          <cell r="L14">
            <v>30.8579525543553</v>
          </cell>
          <cell r="M14">
            <v>0.0053629129210151</v>
          </cell>
          <cell r="N14">
            <v>989</v>
          </cell>
          <cell r="O14">
            <v>1025</v>
          </cell>
          <cell r="P14">
            <v>3.64004044489383</v>
          </cell>
          <cell r="Q14">
            <v>485</v>
          </cell>
          <cell r="R14">
            <v>503</v>
          </cell>
          <cell r="S14">
            <v>3.71134020618558</v>
          </cell>
          <cell r="T14">
            <v>50.9605662285137</v>
          </cell>
          <cell r="U14">
            <v>50.9268292682927</v>
          </cell>
          <cell r="V14">
            <v>-0.0337369602209634</v>
          </cell>
          <cell r="W14">
            <v>17891</v>
          </cell>
          <cell r="X14">
            <v>18270</v>
          </cell>
        </row>
        <row r="15">
          <cell r="A15" t="str">
            <v>CE</v>
          </cell>
          <cell r="B15">
            <v>4388</v>
          </cell>
          <cell r="C15">
            <v>4728</v>
          </cell>
          <cell r="D15">
            <v>7.74840474020056</v>
          </cell>
          <cell r="E15">
            <v>4249</v>
          </cell>
          <cell r="F15">
            <v>4542</v>
          </cell>
          <cell r="G15">
            <v>6.89574017415862</v>
          </cell>
          <cell r="H15">
            <v>2877</v>
          </cell>
          <cell r="I15">
            <v>3075</v>
          </cell>
          <cell r="J15">
            <v>6.88216892596454</v>
          </cell>
          <cell r="K15">
            <v>32.2899505766063</v>
          </cell>
          <cell r="L15">
            <v>32.2985468956407</v>
          </cell>
          <cell r="M15">
            <v>0.00859631903442448</v>
          </cell>
          <cell r="N15">
            <v>422</v>
          </cell>
          <cell r="O15">
            <v>437</v>
          </cell>
          <cell r="P15">
            <v>3.55450236966826</v>
          </cell>
          <cell r="Q15">
            <v>243</v>
          </cell>
          <cell r="R15">
            <v>252</v>
          </cell>
          <cell r="S15">
            <v>3.7037037037037</v>
          </cell>
          <cell r="T15">
            <v>42.4170616113744</v>
          </cell>
          <cell r="U15">
            <v>42.3340961098398</v>
          </cell>
          <cell r="V15">
            <v>-0.0829655015345949</v>
          </cell>
          <cell r="W15">
            <v>11612</v>
          </cell>
          <cell r="X15">
            <v>11943</v>
          </cell>
        </row>
        <row r="16">
          <cell r="A16" t="str">
            <v>MA</v>
          </cell>
          <cell r="B16">
            <v>2017</v>
          </cell>
          <cell r="C16">
            <v>2161</v>
          </cell>
          <cell r="D16">
            <v>7.13931581556768</v>
          </cell>
          <cell r="E16">
            <v>1995</v>
          </cell>
          <cell r="F16">
            <v>2133</v>
          </cell>
          <cell r="G16">
            <v>6.9172932330827</v>
          </cell>
          <cell r="H16">
            <v>1267</v>
          </cell>
          <cell r="I16">
            <v>1385</v>
          </cell>
          <cell r="J16">
            <v>9.31333859510654</v>
          </cell>
          <cell r="K16">
            <v>36.4912280701754</v>
          </cell>
          <cell r="L16">
            <v>35.0679793717768</v>
          </cell>
          <cell r="M16">
            <v>-1.42324869839861</v>
          </cell>
          <cell r="N16">
            <v>291</v>
          </cell>
          <cell r="O16">
            <v>301</v>
          </cell>
          <cell r="P16">
            <v>3.4364261168385</v>
          </cell>
          <cell r="Q16">
            <v>106</v>
          </cell>
          <cell r="R16">
            <v>110</v>
          </cell>
          <cell r="S16">
            <v>3.77358490566037</v>
          </cell>
          <cell r="T16">
            <v>63.573883161512</v>
          </cell>
          <cell r="U16">
            <v>63.4551495016611</v>
          </cell>
          <cell r="V16">
            <v>-0.118733659850903</v>
          </cell>
          <cell r="W16">
            <v>5338</v>
          </cell>
          <cell r="X16">
            <v>5542</v>
          </cell>
        </row>
        <row r="17">
          <cell r="A17" t="str">
            <v>PB</v>
          </cell>
          <cell r="B17">
            <v>2962</v>
          </cell>
          <cell r="C17">
            <v>3134</v>
          </cell>
          <cell r="D17">
            <v>5.80688723835246</v>
          </cell>
          <cell r="E17">
            <v>2917</v>
          </cell>
          <cell r="F17">
            <v>3068</v>
          </cell>
          <cell r="G17">
            <v>5.17655125128557</v>
          </cell>
          <cell r="H17">
            <v>1987</v>
          </cell>
          <cell r="I17">
            <v>2147</v>
          </cell>
          <cell r="J17">
            <v>8.05234021137393</v>
          </cell>
          <cell r="K17">
            <v>31.8820706205005</v>
          </cell>
          <cell r="L17">
            <v>30.019556714472</v>
          </cell>
          <cell r="M17">
            <v>-1.86251390602854</v>
          </cell>
          <cell r="N17">
            <v>503</v>
          </cell>
          <cell r="O17">
            <v>273</v>
          </cell>
          <cell r="P17">
            <v>-45.7256461232604</v>
          </cell>
          <cell r="Q17">
            <v>164</v>
          </cell>
          <cell r="R17">
            <v>177</v>
          </cell>
          <cell r="S17">
            <v>7.92682926829269</v>
          </cell>
          <cell r="T17">
            <v>67.3956262425447</v>
          </cell>
          <cell r="U17">
            <v>35.1648351648352</v>
          </cell>
          <cell r="V17">
            <v>-32.2307910777096</v>
          </cell>
          <cell r="W17">
            <v>9453</v>
          </cell>
          <cell r="X17">
            <v>9613</v>
          </cell>
        </row>
        <row r="18">
          <cell r="A18" t="str">
            <v>PE</v>
          </cell>
          <cell r="B18">
            <v>5230</v>
          </cell>
          <cell r="C18">
            <v>5504.8</v>
          </cell>
          <cell r="D18">
            <v>5.25430210325048</v>
          </cell>
          <cell r="E18">
            <v>4917</v>
          </cell>
          <cell r="F18">
            <v>5056.8</v>
          </cell>
          <cell r="G18">
            <v>2.84319707138498</v>
          </cell>
          <cell r="H18">
            <v>3772</v>
          </cell>
          <cell r="I18">
            <v>3907</v>
          </cell>
          <cell r="J18">
            <v>3.57900318133618</v>
          </cell>
          <cell r="K18">
            <v>23.2865568436038</v>
          </cell>
          <cell r="L18">
            <v>22.7376997310552</v>
          </cell>
          <cell r="M18">
            <v>-0.548857112548603</v>
          </cell>
          <cell r="N18">
            <v>575</v>
          </cell>
          <cell r="O18">
            <v>537</v>
          </cell>
          <cell r="P18">
            <v>-6.60869565217391</v>
          </cell>
          <cell r="Q18">
            <v>355</v>
          </cell>
          <cell r="R18">
            <v>332</v>
          </cell>
          <cell r="S18">
            <v>-6.47887323943662</v>
          </cell>
          <cell r="T18">
            <v>38.2608695652174</v>
          </cell>
          <cell r="U18">
            <v>38.1750465549348</v>
          </cell>
          <cell r="V18">
            <v>-0.0858230102825672</v>
          </cell>
          <cell r="W18">
            <v>17862</v>
          </cell>
          <cell r="X18">
            <v>18275</v>
          </cell>
        </row>
        <row r="19">
          <cell r="A19" t="str">
            <v>PI</v>
          </cell>
          <cell r="B19">
            <v>1495</v>
          </cell>
          <cell r="C19">
            <v>1641</v>
          </cell>
          <cell r="D19">
            <v>9.76588628762542</v>
          </cell>
          <cell r="E19">
            <v>1462</v>
          </cell>
          <cell r="F19">
            <v>1599</v>
          </cell>
          <cell r="G19">
            <v>9.37072503419974</v>
          </cell>
          <cell r="H19">
            <v>1085</v>
          </cell>
          <cell r="I19">
            <v>1196</v>
          </cell>
          <cell r="J19">
            <v>10.2304147465438</v>
          </cell>
          <cell r="K19">
            <v>25.7865937072503</v>
          </cell>
          <cell r="L19">
            <v>25.2032520325203</v>
          </cell>
          <cell r="M19">
            <v>-0.583341674730008</v>
          </cell>
          <cell r="N19">
            <v>266</v>
          </cell>
          <cell r="O19">
            <v>275</v>
          </cell>
          <cell r="P19">
            <v>3.38345864661653</v>
          </cell>
          <cell r="Q19">
            <v>150</v>
          </cell>
          <cell r="R19">
            <v>155</v>
          </cell>
          <cell r="S19">
            <v>3.33333333333334</v>
          </cell>
          <cell r="T19">
            <v>43.609022556391</v>
          </cell>
          <cell r="U19">
            <v>43.6363636363636</v>
          </cell>
          <cell r="V19">
            <v>0.0273410799726648</v>
          </cell>
          <cell r="W19">
            <v>4578</v>
          </cell>
          <cell r="X19">
            <v>4798</v>
          </cell>
        </row>
        <row r="20">
          <cell r="A20" t="str">
            <v>RN</v>
          </cell>
          <cell r="B20">
            <v>2626</v>
          </cell>
          <cell r="C20">
            <v>2816</v>
          </cell>
          <cell r="D20">
            <v>7.23533891850722</v>
          </cell>
          <cell r="E20">
            <v>2582</v>
          </cell>
          <cell r="F20">
            <v>2736</v>
          </cell>
          <cell r="G20">
            <v>5.96436870642914</v>
          </cell>
          <cell r="H20">
            <v>1813</v>
          </cell>
          <cell r="I20">
            <v>1896</v>
          </cell>
          <cell r="J20">
            <v>4.5780474351903</v>
          </cell>
          <cell r="K20">
            <v>29.7831138652208</v>
          </cell>
          <cell r="L20">
            <v>30.7017543859649</v>
          </cell>
          <cell r="M20">
            <v>0.918640520744148</v>
          </cell>
          <cell r="N20">
            <v>305</v>
          </cell>
          <cell r="O20">
            <v>316</v>
          </cell>
          <cell r="P20">
            <v>3.60655737704919</v>
          </cell>
          <cell r="Q20">
            <v>135</v>
          </cell>
          <cell r="R20">
            <v>140</v>
          </cell>
          <cell r="S20">
            <v>3.7037037037037</v>
          </cell>
          <cell r="T20">
            <v>55.7377049180328</v>
          </cell>
          <cell r="U20">
            <v>55.6962025316456</v>
          </cell>
          <cell r="V20">
            <v>-0.041502386387215</v>
          </cell>
          <cell r="W20">
            <v>9778</v>
          </cell>
          <cell r="X20">
            <v>10132</v>
          </cell>
        </row>
        <row r="21">
          <cell r="A21" t="str">
            <v>SE</v>
          </cell>
          <cell r="B21">
            <v>1553</v>
          </cell>
          <cell r="C21">
            <v>1633</v>
          </cell>
          <cell r="D21">
            <v>5.1513200257566</v>
          </cell>
          <cell r="E21">
            <v>1525</v>
          </cell>
          <cell r="F21">
            <v>1599</v>
          </cell>
          <cell r="G21">
            <v>4.85245901639344</v>
          </cell>
          <cell r="H21">
            <v>1075</v>
          </cell>
          <cell r="I21">
            <v>1141</v>
          </cell>
          <cell r="J21">
            <v>6.13953488372093</v>
          </cell>
          <cell r="K21">
            <v>29.5081967213115</v>
          </cell>
          <cell r="L21">
            <v>28.6429018136335</v>
          </cell>
          <cell r="M21">
            <v>-0.865294907677949</v>
          </cell>
          <cell r="N21">
            <v>175</v>
          </cell>
          <cell r="O21">
            <v>172</v>
          </cell>
          <cell r="P21">
            <v>-1.71428571428571</v>
          </cell>
          <cell r="Q21">
            <v>104</v>
          </cell>
          <cell r="R21">
            <v>102</v>
          </cell>
          <cell r="S21">
            <v>-1.92307692307693</v>
          </cell>
          <cell r="T21">
            <v>40.5714285714286</v>
          </cell>
          <cell r="U21">
            <v>40.6976744186047</v>
          </cell>
          <cell r="V21">
            <v>0.126245847176079</v>
          </cell>
          <cell r="W21">
            <v>6685</v>
          </cell>
          <cell r="X21">
            <v>6758</v>
          </cell>
        </row>
        <row r="22">
          <cell r="A22" t="str">
            <v>Soma(NE)</v>
          </cell>
          <cell r="B22">
            <v>29364</v>
          </cell>
          <cell r="C22">
            <v>31167.1</v>
          </cell>
          <cell r="D22">
            <v>6.14051219179947</v>
          </cell>
          <cell r="E22">
            <v>27973</v>
          </cell>
          <cell r="F22">
            <v>29392.1</v>
          </cell>
          <cell r="G22">
            <v>5.07310620955921</v>
          </cell>
          <cell r="H22">
            <v>19573</v>
          </cell>
          <cell r="I22">
            <v>20701</v>
          </cell>
          <cell r="J22">
            <v>5.76304092372146</v>
          </cell>
          <cell r="K22">
            <v>30.0289564937618</v>
          </cell>
          <cell r="L22">
            <v>29.5695101745027</v>
          </cell>
          <cell r="M22">
            <v>-0.459446319259172</v>
          </cell>
          <cell r="N22">
            <v>3692</v>
          </cell>
          <cell r="O22">
            <v>3510</v>
          </cell>
          <cell r="P22">
            <v>-4.92957746478874</v>
          </cell>
          <cell r="Q22">
            <v>1814</v>
          </cell>
          <cell r="R22">
            <v>1846</v>
          </cell>
          <cell r="S22">
            <v>1.76405733186328</v>
          </cell>
          <cell r="T22">
            <v>50.8667388949079</v>
          </cell>
          <cell r="U22">
            <v>47.4074074074074</v>
          </cell>
          <cell r="V22">
            <v>-3.4593314875005</v>
          </cell>
          <cell r="W22">
            <v>90307</v>
          </cell>
          <cell r="X22">
            <v>92529</v>
          </cell>
        </row>
        <row r="23">
          <cell r="A23" t="str">
            <v>DF</v>
          </cell>
          <cell r="B23">
            <v>6599</v>
          </cell>
          <cell r="C23">
            <v>6845.6</v>
          </cell>
          <cell r="D23">
            <v>3.73692983785423</v>
          </cell>
          <cell r="E23">
            <v>6155</v>
          </cell>
          <cell r="F23">
            <v>6318.6</v>
          </cell>
          <cell r="G23">
            <v>2.65800162469539</v>
          </cell>
          <cell r="H23">
            <v>4526</v>
          </cell>
          <cell r="I23">
            <v>4639</v>
          </cell>
          <cell r="J23">
            <v>2.49668581528944</v>
          </cell>
          <cell r="K23">
            <v>26.4662875710804</v>
          </cell>
          <cell r="L23">
            <v>26.5818377488684</v>
          </cell>
          <cell r="M23">
            <v>0.115550177787995</v>
          </cell>
          <cell r="N23">
            <v>766</v>
          </cell>
          <cell r="O23">
            <v>804</v>
          </cell>
          <cell r="P23">
            <v>4.96083550913838</v>
          </cell>
          <cell r="Q23">
            <v>335</v>
          </cell>
          <cell r="R23">
            <v>352</v>
          </cell>
          <cell r="S23">
            <v>5.07462686567163</v>
          </cell>
          <cell r="T23">
            <v>56.266318537859</v>
          </cell>
          <cell r="U23">
            <v>56.2189054726368</v>
          </cell>
          <cell r="V23">
            <v>-0.0474130652221945</v>
          </cell>
          <cell r="W23">
            <v>17553</v>
          </cell>
          <cell r="X23">
            <v>17781</v>
          </cell>
        </row>
        <row r="24">
          <cell r="A24" t="str">
            <v>GO</v>
          </cell>
          <cell r="B24">
            <v>5057</v>
          </cell>
          <cell r="C24">
            <v>5336</v>
          </cell>
          <cell r="D24">
            <v>5.51710500296619</v>
          </cell>
          <cell r="E24">
            <v>4893</v>
          </cell>
          <cell r="F24">
            <v>5100</v>
          </cell>
          <cell r="G24">
            <v>4.23053341508278</v>
          </cell>
          <cell r="H24">
            <v>3610</v>
          </cell>
          <cell r="I24">
            <v>3658</v>
          </cell>
          <cell r="J24">
            <v>1.32963988919667</v>
          </cell>
          <cell r="K24">
            <v>26.2211322297159</v>
          </cell>
          <cell r="L24">
            <v>28.2745098039216</v>
          </cell>
          <cell r="M24">
            <v>2.05337757420564</v>
          </cell>
          <cell r="N24">
            <v>697</v>
          </cell>
          <cell r="O24">
            <v>721</v>
          </cell>
          <cell r="P24">
            <v>3.44332855093256</v>
          </cell>
          <cell r="Q24">
            <v>212</v>
          </cell>
          <cell r="R24">
            <v>219</v>
          </cell>
          <cell r="S24">
            <v>3.30188679245282</v>
          </cell>
          <cell r="T24">
            <v>69.583931133429</v>
          </cell>
          <cell r="U24">
            <v>69.625520110957</v>
          </cell>
          <cell r="V24">
            <v>0.041588977528022</v>
          </cell>
          <cell r="W24">
            <v>30060</v>
          </cell>
          <cell r="X24">
            <v>30625</v>
          </cell>
        </row>
        <row r="25">
          <cell r="A25" t="str">
            <v>MS</v>
          </cell>
          <cell r="B25">
            <v>3591</v>
          </cell>
          <cell r="C25">
            <v>3649</v>
          </cell>
          <cell r="D25">
            <v>1.61514898357005</v>
          </cell>
          <cell r="E25">
            <v>3539</v>
          </cell>
          <cell r="F25">
            <v>3554</v>
          </cell>
          <cell r="G25">
            <v>0.423848544786651</v>
          </cell>
          <cell r="H25">
            <v>2213</v>
          </cell>
          <cell r="I25">
            <v>2261</v>
          </cell>
          <cell r="J25">
            <v>2.16900135562585</v>
          </cell>
          <cell r="K25">
            <v>37.468211359141</v>
          </cell>
          <cell r="L25">
            <v>36.381541924592</v>
          </cell>
          <cell r="M25">
            <v>-1.08666943454899</v>
          </cell>
          <cell r="N25">
            <v>663</v>
          </cell>
          <cell r="O25">
            <v>686</v>
          </cell>
          <cell r="P25">
            <v>3.46907993966819</v>
          </cell>
          <cell r="Q25">
            <v>312</v>
          </cell>
          <cell r="R25">
            <v>323</v>
          </cell>
          <cell r="S25">
            <v>3.52564102564104</v>
          </cell>
          <cell r="T25">
            <v>52.9411764705882</v>
          </cell>
          <cell r="U25">
            <v>52.9154518950437</v>
          </cell>
          <cell r="V25">
            <v>-0.0257245755445084</v>
          </cell>
          <cell r="W25">
            <v>21900</v>
          </cell>
          <cell r="X25">
            <v>21491</v>
          </cell>
        </row>
        <row r="26">
          <cell r="A26" t="str">
            <v>MT</v>
          </cell>
          <cell r="B26">
            <v>3382</v>
          </cell>
          <cell r="C26">
            <v>3626</v>
          </cell>
          <cell r="D26">
            <v>7.21466587817858</v>
          </cell>
          <cell r="E26">
            <v>3350</v>
          </cell>
          <cell r="F26">
            <v>3563</v>
          </cell>
          <cell r="G26">
            <v>6.35820895522387</v>
          </cell>
          <cell r="H26">
            <v>2595</v>
          </cell>
          <cell r="I26">
            <v>2733</v>
          </cell>
          <cell r="J26">
            <v>5.31791907514452</v>
          </cell>
          <cell r="K26">
            <v>22.5373134328358</v>
          </cell>
          <cell r="L26">
            <v>23.2949761436991</v>
          </cell>
          <cell r="M26">
            <v>0.757662710863301</v>
          </cell>
          <cell r="N26">
            <v>615</v>
          </cell>
          <cell r="O26">
            <v>643</v>
          </cell>
          <cell r="P26">
            <v>4.55284552845528</v>
          </cell>
          <cell r="Q26">
            <v>274</v>
          </cell>
          <cell r="R26">
            <v>286</v>
          </cell>
          <cell r="S26">
            <v>4.37956204379562</v>
          </cell>
          <cell r="T26">
            <v>55.4471544715447</v>
          </cell>
          <cell r="U26">
            <v>55.5209953343701</v>
          </cell>
          <cell r="V26">
            <v>0.0738408628254277</v>
          </cell>
          <cell r="W26">
            <v>33327</v>
          </cell>
          <cell r="X26">
            <v>34391</v>
          </cell>
        </row>
        <row r="27">
          <cell r="A27" t="str">
            <v>Soma(CO)</v>
          </cell>
          <cell r="B27">
            <v>18629</v>
          </cell>
          <cell r="C27">
            <v>19456.6</v>
          </cell>
          <cell r="D27">
            <v>4.44253583123087</v>
          </cell>
          <cell r="E27">
            <v>17937</v>
          </cell>
          <cell r="F27">
            <v>18535.6</v>
          </cell>
          <cell r="G27">
            <v>3.33723588113955</v>
          </cell>
          <cell r="H27">
            <v>12944</v>
          </cell>
          <cell r="I27">
            <v>13291</v>
          </cell>
          <cell r="J27">
            <v>2.68077873918418</v>
          </cell>
          <cell r="K27">
            <v>27.8363159948709</v>
          </cell>
          <cell r="L27">
            <v>28.2947409309653</v>
          </cell>
          <cell r="M27">
            <v>0.458424936094318</v>
          </cell>
          <cell r="N27">
            <v>2741</v>
          </cell>
          <cell r="O27">
            <v>2854</v>
          </cell>
          <cell r="P27">
            <v>4.12258299890551</v>
          </cell>
          <cell r="Q27">
            <v>1133</v>
          </cell>
          <cell r="R27">
            <v>1180</v>
          </cell>
          <cell r="S27">
            <v>4.14827890556046</v>
          </cell>
          <cell r="T27">
            <v>58.6647209047793</v>
          </cell>
          <cell r="U27">
            <v>58.6545199719692</v>
          </cell>
          <cell r="V27">
            <v>-0.0102009328101147</v>
          </cell>
          <cell r="W27">
            <v>102840</v>
          </cell>
          <cell r="X27">
            <v>104288</v>
          </cell>
        </row>
        <row r="28">
          <cell r="A28" t="str">
            <v>ES</v>
          </cell>
          <cell r="B28">
            <v>3816</v>
          </cell>
          <cell r="C28">
            <v>4055</v>
          </cell>
          <cell r="D28">
            <v>6.26310272536688</v>
          </cell>
          <cell r="E28">
            <v>3749</v>
          </cell>
          <cell r="F28">
            <v>3960</v>
          </cell>
          <cell r="G28">
            <v>5.62816751133634</v>
          </cell>
          <cell r="H28">
            <v>3385</v>
          </cell>
          <cell r="I28">
            <v>3688</v>
          </cell>
          <cell r="J28">
            <v>8.95125553914329</v>
          </cell>
          <cell r="K28">
            <v>9.70925580154707</v>
          </cell>
          <cell r="L28">
            <v>6.86868686868687</v>
          </cell>
          <cell r="M28">
            <v>-2.84056893286021</v>
          </cell>
          <cell r="N28">
            <v>457</v>
          </cell>
          <cell r="O28">
            <v>484</v>
          </cell>
          <cell r="P28">
            <v>5.90809628008753</v>
          </cell>
          <cell r="Q28">
            <v>334</v>
          </cell>
          <cell r="R28">
            <v>341</v>
          </cell>
          <cell r="S28">
            <v>2.09580838323353</v>
          </cell>
          <cell r="T28">
            <v>26.9146608315098</v>
          </cell>
          <cell r="U28">
            <v>29.5454545454545</v>
          </cell>
          <cell r="V28">
            <v>2.6307937139447</v>
          </cell>
          <cell r="W28">
            <v>14858</v>
          </cell>
          <cell r="X28">
            <v>15329</v>
          </cell>
        </row>
        <row r="29">
          <cell r="A29" t="str">
            <v>MG</v>
          </cell>
          <cell r="B29">
            <v>16767</v>
          </cell>
          <cell r="C29">
            <v>17458</v>
          </cell>
          <cell r="D29">
            <v>4.12119043358979</v>
          </cell>
          <cell r="E29">
            <v>16171</v>
          </cell>
          <cell r="F29">
            <v>16749</v>
          </cell>
          <cell r="G29">
            <v>3.57429967225281</v>
          </cell>
          <cell r="H29">
            <v>11936</v>
          </cell>
          <cell r="I29">
            <v>12616</v>
          </cell>
          <cell r="J29">
            <v>5.69705093833781</v>
          </cell>
          <cell r="K29">
            <v>26.1888565951394</v>
          </cell>
          <cell r="L29">
            <v>24.6761000656756</v>
          </cell>
          <cell r="M29">
            <v>-1.51275652946387</v>
          </cell>
          <cell r="N29">
            <v>1781</v>
          </cell>
          <cell r="O29">
            <v>1892</v>
          </cell>
          <cell r="P29">
            <v>6.23245367770915</v>
          </cell>
          <cell r="Q29">
            <v>1073</v>
          </cell>
          <cell r="R29">
            <v>1140</v>
          </cell>
          <cell r="S29">
            <v>6.24417520969244</v>
          </cell>
          <cell r="T29">
            <v>39.7529477821449</v>
          </cell>
          <cell r="U29">
            <v>39.7463002114165</v>
          </cell>
          <cell r="V29">
            <v>-0.00664757072838285</v>
          </cell>
          <cell r="W29">
            <v>56243</v>
          </cell>
          <cell r="X29">
            <v>56998</v>
          </cell>
        </row>
        <row r="30">
          <cell r="A30" t="str">
            <v>RJ</v>
          </cell>
          <cell r="B30">
            <v>21006</v>
          </cell>
          <cell r="C30">
            <v>21599.3333333333</v>
          </cell>
          <cell r="D30">
            <v>2.82458979973974</v>
          </cell>
          <cell r="E30">
            <v>18113</v>
          </cell>
          <cell r="F30">
            <v>18095.3333333333</v>
          </cell>
          <cell r="G30">
            <v>-0.0975358398203952</v>
          </cell>
          <cell r="H30">
            <v>12784</v>
          </cell>
          <cell r="I30">
            <v>13063</v>
          </cell>
          <cell r="J30">
            <v>2.18241551939924</v>
          </cell>
          <cell r="K30">
            <v>29.4208579473306</v>
          </cell>
          <cell r="L30">
            <v>27.810116788859</v>
          </cell>
          <cell r="M30">
            <v>-1.61074115847165</v>
          </cell>
          <cell r="N30">
            <v>2812</v>
          </cell>
          <cell r="O30">
            <v>2932</v>
          </cell>
          <cell r="P30">
            <v>4.2674253200569</v>
          </cell>
          <cell r="Q30">
            <v>1558</v>
          </cell>
          <cell r="R30">
            <v>1624</v>
          </cell>
          <cell r="S30">
            <v>4.23620025673941</v>
          </cell>
          <cell r="T30">
            <v>44.5945945945946</v>
          </cell>
          <cell r="U30">
            <v>44.6111869031378</v>
          </cell>
          <cell r="V30">
            <v>0.0165923085431956</v>
          </cell>
          <cell r="W30">
            <v>53770</v>
          </cell>
          <cell r="X30">
            <v>59576</v>
          </cell>
        </row>
        <row r="31">
          <cell r="A31" t="str">
            <v>SP</v>
          </cell>
          <cell r="B31">
            <v>64529</v>
          </cell>
          <cell r="C31">
            <v>67388</v>
          </cell>
          <cell r="D31">
            <v>4.43056610206263</v>
          </cell>
          <cell r="E31">
            <v>60926</v>
          </cell>
          <cell r="F31">
            <v>63009</v>
          </cell>
          <cell r="G31">
            <v>3.4189016183567</v>
          </cell>
          <cell r="H31">
            <v>43802</v>
          </cell>
          <cell r="I31">
            <v>46627</v>
          </cell>
          <cell r="J31">
            <v>6.44947719282226</v>
          </cell>
          <cell r="K31">
            <v>28.1062272264715</v>
          </cell>
          <cell r="L31">
            <v>25.9994603945468</v>
          </cell>
          <cell r="M31">
            <v>-2.10676683192464</v>
          </cell>
          <cell r="N31">
            <v>7955</v>
          </cell>
          <cell r="O31">
            <v>8228</v>
          </cell>
          <cell r="P31">
            <v>3.43180389692017</v>
          </cell>
          <cell r="Q31">
            <v>4424</v>
          </cell>
          <cell r="R31">
            <v>4576</v>
          </cell>
          <cell r="S31">
            <v>3.43580470162748</v>
          </cell>
          <cell r="T31">
            <v>44.38717787555</v>
          </cell>
          <cell r="U31">
            <v>44.3850267379679</v>
          </cell>
          <cell r="V31">
            <v>-0.00215113758205376</v>
          </cell>
          <cell r="W31">
            <v>342251</v>
          </cell>
          <cell r="X31">
            <v>348775</v>
          </cell>
        </row>
        <row r="32">
          <cell r="A32" t="str">
            <v>Soma(SE)</v>
          </cell>
          <cell r="B32">
            <v>106118</v>
          </cell>
          <cell r="C32">
            <v>110500.333333333</v>
          </cell>
          <cell r="D32">
            <v>4.1296795391294</v>
          </cell>
          <cell r="E32">
            <v>98959</v>
          </cell>
          <cell r="F32">
            <v>101813.333333333</v>
          </cell>
          <cell r="G32">
            <v>2.88435951589379</v>
          </cell>
          <cell r="H32">
            <v>71907</v>
          </cell>
          <cell r="I32">
            <v>75994</v>
          </cell>
          <cell r="J32">
            <v>5.68373037395524</v>
          </cell>
          <cell r="K32">
            <v>27.3365737325559</v>
          </cell>
          <cell r="L32">
            <v>25.3594814038764</v>
          </cell>
          <cell r="M32">
            <v>-1.97709232867953</v>
          </cell>
          <cell r="N32">
            <v>13005</v>
          </cell>
          <cell r="O32">
            <v>13536</v>
          </cell>
          <cell r="P32">
            <v>4.08304498269897</v>
          </cell>
          <cell r="Q32">
            <v>7389</v>
          </cell>
          <cell r="R32">
            <v>7681</v>
          </cell>
          <cell r="S32">
            <v>3.95182027337935</v>
          </cell>
          <cell r="T32">
            <v>43.1833910034602</v>
          </cell>
          <cell r="U32">
            <v>43.2550236406619</v>
          </cell>
          <cell r="V32">
            <v>0.0716326372017377</v>
          </cell>
          <cell r="W32">
            <v>467122</v>
          </cell>
          <cell r="X32">
            <v>480678</v>
          </cell>
        </row>
        <row r="33">
          <cell r="A33" t="str">
            <v>PR</v>
          </cell>
          <cell r="B33">
            <v>14079</v>
          </cell>
          <cell r="C33">
            <v>14181</v>
          </cell>
          <cell r="D33">
            <v>0.724483272959731</v>
          </cell>
          <cell r="E33">
            <v>13761</v>
          </cell>
          <cell r="F33">
            <v>13769</v>
          </cell>
          <cell r="G33">
            <v>0.0581353099338884</v>
          </cell>
          <cell r="H33">
            <v>10300</v>
          </cell>
          <cell r="I33">
            <v>9552</v>
          </cell>
          <cell r="J33">
            <v>-7.26213592233009</v>
          </cell>
          <cell r="K33">
            <v>25.150788460141</v>
          </cell>
          <cell r="L33">
            <v>30.6267702810662</v>
          </cell>
          <cell r="M33">
            <v>5.47598182092517</v>
          </cell>
          <cell r="N33">
            <v>2799</v>
          </cell>
          <cell r="O33">
            <v>2791</v>
          </cell>
          <cell r="P33">
            <v>-0.285816362986779</v>
          </cell>
          <cell r="Q33">
            <v>1500</v>
          </cell>
          <cell r="R33">
            <v>1303</v>
          </cell>
          <cell r="S33">
            <v>-13.1333333333333</v>
          </cell>
          <cell r="T33">
            <v>46.4094319399786</v>
          </cell>
          <cell r="U33">
            <v>53.3142242923683</v>
          </cell>
          <cell r="V33">
            <v>6.90479235238977</v>
          </cell>
          <cell r="W33">
            <v>78904</v>
          </cell>
          <cell r="X33">
            <v>74309</v>
          </cell>
        </row>
        <row r="34">
          <cell r="A34" t="str">
            <v>RS</v>
          </cell>
          <cell r="B34">
            <v>17463</v>
          </cell>
          <cell r="C34">
            <v>18041</v>
          </cell>
          <cell r="D34">
            <v>3.3098551222585</v>
          </cell>
          <cell r="E34">
            <v>16877</v>
          </cell>
          <cell r="F34">
            <v>16889</v>
          </cell>
          <cell r="G34">
            <v>0.0711026841263305</v>
          </cell>
          <cell r="H34">
            <v>12750</v>
          </cell>
          <cell r="I34">
            <v>12768</v>
          </cell>
          <cell r="J34">
            <v>0.141176470588249</v>
          </cell>
          <cell r="K34">
            <v>24.4533981157789</v>
          </cell>
          <cell r="L34">
            <v>24.4004973651489</v>
          </cell>
          <cell r="M34">
            <v>-0.0529007506299593</v>
          </cell>
          <cell r="N34">
            <v>2828</v>
          </cell>
          <cell r="O34">
            <v>2927</v>
          </cell>
          <cell r="P34">
            <v>3.50070721357849</v>
          </cell>
          <cell r="Q34">
            <v>1556</v>
          </cell>
          <cell r="R34">
            <v>1610</v>
          </cell>
          <cell r="S34">
            <v>3.47043701799485</v>
          </cell>
          <cell r="T34">
            <v>44.978783592645</v>
          </cell>
          <cell r="U34">
            <v>44.9948752989409</v>
          </cell>
          <cell r="V34">
            <v>0.0160917062959172</v>
          </cell>
          <cell r="W34">
            <v>93772</v>
          </cell>
          <cell r="X34">
            <v>94432</v>
          </cell>
        </row>
        <row r="35">
          <cell r="A35" t="str">
            <v>SC</v>
          </cell>
          <cell r="B35">
            <v>11363</v>
          </cell>
          <cell r="C35">
            <v>11914</v>
          </cell>
          <cell r="D35">
            <v>4.84907154800669</v>
          </cell>
          <cell r="E35">
            <v>11143</v>
          </cell>
          <cell r="F35">
            <v>11626</v>
          </cell>
          <cell r="G35">
            <v>4.33455981333573</v>
          </cell>
          <cell r="H35">
            <v>8610</v>
          </cell>
          <cell r="I35">
            <v>9121</v>
          </cell>
          <cell r="J35">
            <v>5.9349593495935</v>
          </cell>
          <cell r="K35">
            <v>22.7317598492327</v>
          </cell>
          <cell r="L35">
            <v>21.5465336315156</v>
          </cell>
          <cell r="M35">
            <v>-1.18522621771714</v>
          </cell>
          <cell r="N35">
            <v>1841</v>
          </cell>
          <cell r="O35">
            <v>1905</v>
          </cell>
          <cell r="P35">
            <v>3.47637153720804</v>
          </cell>
          <cell r="Q35">
            <v>988</v>
          </cell>
          <cell r="R35">
            <v>1022</v>
          </cell>
          <cell r="S35">
            <v>3.44129554655869</v>
          </cell>
          <cell r="T35">
            <v>46.3335143943509</v>
          </cell>
          <cell r="U35">
            <v>46.3517060367454</v>
          </cell>
          <cell r="V35">
            <v>0.0181916423945196</v>
          </cell>
          <cell r="W35">
            <v>60199</v>
          </cell>
          <cell r="X35">
            <v>61100</v>
          </cell>
        </row>
        <row r="36">
          <cell r="A36" t="str">
            <v>Soma(S)</v>
          </cell>
          <cell r="B36">
            <v>42905</v>
          </cell>
          <cell r="C36">
            <v>44136</v>
          </cell>
          <cell r="D36">
            <v>2.8691294720895</v>
          </cell>
          <cell r="E36">
            <v>41781</v>
          </cell>
          <cell r="F36">
            <v>42284</v>
          </cell>
          <cell r="G36">
            <v>1.20389650798209</v>
          </cell>
          <cell r="H36">
            <v>31660</v>
          </cell>
          <cell r="I36">
            <v>31441</v>
          </cell>
          <cell r="J36">
            <v>-0.691724573594442</v>
          </cell>
          <cell r="K36">
            <v>24.2239295373495</v>
          </cell>
          <cell r="L36">
            <v>25.6432693217292</v>
          </cell>
          <cell r="M36">
            <v>1.41933978437974</v>
          </cell>
          <cell r="N36">
            <v>7468</v>
          </cell>
          <cell r="O36">
            <v>7623</v>
          </cell>
          <cell r="P36">
            <v>2.07552222817353</v>
          </cell>
          <cell r="Q36">
            <v>4044</v>
          </cell>
          <cell r="R36">
            <v>3935</v>
          </cell>
          <cell r="S36">
            <v>-2.69535113748763</v>
          </cell>
          <cell r="T36">
            <v>45.8489555436529</v>
          </cell>
          <cell r="U36">
            <v>48.3799029253575</v>
          </cell>
          <cell r="V36">
            <v>2.53094738170455</v>
          </cell>
          <cell r="W36">
            <v>232875</v>
          </cell>
          <cell r="X36">
            <v>229841</v>
          </cell>
        </row>
        <row r="37">
          <cell r="A37" t="str">
            <v>TOTAL</v>
          </cell>
          <cell r="B37">
            <v>205822</v>
          </cell>
          <cell r="C37">
            <v>214832.033333333</v>
          </cell>
          <cell r="D37">
            <v>4.37758516258384</v>
          </cell>
          <cell r="E37">
            <v>195299</v>
          </cell>
          <cell r="F37">
            <v>201348.033333333</v>
          </cell>
          <cell r="G37">
            <v>3.09731915336656</v>
          </cell>
          <cell r="H37">
            <v>141540</v>
          </cell>
          <cell r="I37">
            <v>147431</v>
          </cell>
          <cell r="J37">
            <v>4.16207432527906</v>
          </cell>
          <cell r="K37">
            <v>27.5265106324149</v>
          </cell>
          <cell r="L37">
            <v>26.7780282929673</v>
          </cell>
          <cell r="M37">
            <v>-0.748482339447563</v>
          </cell>
          <cell r="N37">
            <v>28484</v>
          </cell>
          <cell r="O37">
            <v>29174</v>
          </cell>
          <cell r="P37">
            <v>2.42241258250246</v>
          </cell>
          <cell r="Q37">
            <v>14978</v>
          </cell>
          <cell r="R37">
            <v>15267</v>
          </cell>
          <cell r="S37">
            <v>1.92949659500601</v>
          </cell>
          <cell r="T37">
            <v>47.4160932453307</v>
          </cell>
          <cell r="U37">
            <v>47.6691574689792</v>
          </cell>
          <cell r="V37">
            <v>0.253064223648515</v>
          </cell>
          <cell r="W37">
            <v>930349</v>
          </cell>
          <cell r="X37">
            <v>946291</v>
          </cell>
        </row>
      </sheetData>
      <sheetData sheetId="9"/>
      <sheetData sheetId="10"/>
      <sheetData sheetId="11">
        <row r="4">
          <cell r="A4" t="str">
            <v>RR</v>
          </cell>
          <cell r="B4">
            <v>200941.37</v>
          </cell>
          <cell r="C4">
            <v>1192710</v>
          </cell>
          <cell r="D4">
            <v>991768.63</v>
          </cell>
          <cell r="E4">
            <v>17663.7134838187</v>
          </cell>
          <cell r="F4">
            <v>1009432.34348382</v>
          </cell>
          <cell r="G4">
            <v>17640</v>
          </cell>
          <cell r="H4">
            <v>1027072.34348382</v>
          </cell>
        </row>
        <row r="5">
          <cell r="A5" t="str">
            <v>AC</v>
          </cell>
          <cell r="B5">
            <v>499139.82</v>
          </cell>
          <cell r="C5">
            <v>1192710</v>
          </cell>
          <cell r="D5">
            <v>693570.18</v>
          </cell>
          <cell r="E5">
            <v>43727.2160574325</v>
          </cell>
          <cell r="F5">
            <v>737297.396057433</v>
          </cell>
          <cell r="G5">
            <v>17240</v>
          </cell>
          <cell r="H5">
            <v>754537.396057433</v>
          </cell>
        </row>
        <row r="6">
          <cell r="A6" t="str">
            <v>AP</v>
          </cell>
          <cell r="B6">
            <v>636618.564</v>
          </cell>
          <cell r="C6">
            <v>1192710</v>
          </cell>
          <cell r="D6">
            <v>556091.436</v>
          </cell>
          <cell r="E6">
            <v>55594.01406169</v>
          </cell>
          <cell r="F6">
            <v>611685.45006169</v>
          </cell>
          <cell r="G6">
            <v>18040</v>
          </cell>
          <cell r="H6">
            <v>629725.45006169</v>
          </cell>
        </row>
        <row r="7">
          <cell r="A7" t="str">
            <v>TO</v>
          </cell>
          <cell r="B7">
            <v>843287.918</v>
          </cell>
          <cell r="C7">
            <v>1192710</v>
          </cell>
          <cell r="D7">
            <v>349422.082</v>
          </cell>
          <cell r="E7">
            <v>74016.3433210031</v>
          </cell>
          <cell r="F7">
            <v>423438.425321003</v>
          </cell>
          <cell r="G7">
            <v>12440</v>
          </cell>
          <cell r="H7">
            <v>435878.425321003</v>
          </cell>
        </row>
        <row r="8">
          <cell r="A8" t="str">
            <v>MA</v>
          </cell>
        </row>
        <row r="9">
          <cell r="A9" t="str">
            <v>PI</v>
          </cell>
          <cell r="B9">
            <v>1025134.762</v>
          </cell>
          <cell r="C9">
            <v>1242407</v>
          </cell>
          <cell r="D9">
            <v>217272.238</v>
          </cell>
          <cell r="E9">
            <v>89523.1403365715</v>
          </cell>
          <cell r="F9">
            <v>306795.378336571</v>
          </cell>
          <cell r="G9">
            <v>16840</v>
          </cell>
          <cell r="H9">
            <v>323635.378336572</v>
          </cell>
        </row>
        <row r="10">
          <cell r="A10" t="str">
            <v>SE</v>
          </cell>
          <cell r="B10">
            <v>1188123.594</v>
          </cell>
          <cell r="C10">
            <v>1242407</v>
          </cell>
          <cell r="D10">
            <v>54283.406</v>
          </cell>
          <cell r="E10">
            <v>104151.987473858</v>
          </cell>
          <cell r="F10">
            <v>158435.393473858</v>
          </cell>
          <cell r="G10">
            <v>14440</v>
          </cell>
          <cell r="H10">
            <v>172875.393473858</v>
          </cell>
        </row>
        <row r="13">
          <cell r="A13" t="str">
            <v>Sub Total</v>
          </cell>
          <cell r="B13">
            <v>4393246.028</v>
          </cell>
          <cell r="C13">
            <v>7255654</v>
          </cell>
          <cell r="D13">
            <v>2862407.972</v>
          </cell>
          <cell r="E13">
            <v>384676.414734374</v>
          </cell>
          <cell r="F13">
            <v>3247084.38673437</v>
          </cell>
          <cell r="G13">
            <v>96640</v>
          </cell>
          <cell r="H13">
            <v>3343724.38673437</v>
          </cell>
        </row>
        <row r="14">
          <cell r="A14" t="str">
            <v>Gestão do Fundo de Apoio (10%)4</v>
          </cell>
        </row>
        <row r="14">
          <cell r="D14">
            <v>189600.7972</v>
          </cell>
        </row>
        <row r="14">
          <cell r="F14">
            <v>0</v>
          </cell>
          <cell r="G14">
            <v>0</v>
          </cell>
          <cell r="H14">
            <v>189600.7972</v>
          </cell>
        </row>
        <row r="15">
          <cell r="A15" t="str">
            <v>Total 1</v>
          </cell>
        </row>
        <row r="15">
          <cell r="F15">
            <v>3247084.38673437</v>
          </cell>
          <cell r="G15">
            <v>96640</v>
          </cell>
          <cell r="H15">
            <v>3533325.18393437</v>
          </cell>
        </row>
        <row r="16">
          <cell r="A16" t="str">
            <v>MA</v>
          </cell>
          <cell r="B16">
            <v>1243874.664</v>
          </cell>
          <cell r="C16">
            <v>1242407</v>
          </cell>
          <cell r="D16">
            <v>-1467.66399999987</v>
          </cell>
          <cell r="E16">
            <v>108738.859459942</v>
          </cell>
          <cell r="F16">
            <v>107271.195459942</v>
          </cell>
          <cell r="G16">
            <v>17240</v>
          </cell>
          <cell r="H16">
            <v>124511.195459942</v>
          </cell>
        </row>
      </sheetData>
      <sheetData sheetId="12">
        <row r="4">
          <cell r="A4" t="str">
            <v>SP</v>
          </cell>
          <cell r="B4">
            <v>54658046.024</v>
          </cell>
          <cell r="C4">
            <v>997466.66956339</v>
          </cell>
        </row>
        <row r="5">
          <cell r="A5" t="str">
            <v>RS</v>
          </cell>
          <cell r="B5">
            <v>15038687.568</v>
          </cell>
          <cell r="C5">
            <v>274444.307732308</v>
          </cell>
        </row>
        <row r="6">
          <cell r="A6" t="str">
            <v>PR</v>
          </cell>
          <cell r="B6">
            <v>11604275.962</v>
          </cell>
          <cell r="C6">
            <v>211768.97709494</v>
          </cell>
        </row>
        <row r="7">
          <cell r="A7" t="str">
            <v>MG</v>
          </cell>
          <cell r="B7">
            <v>11451285.126</v>
          </cell>
          <cell r="C7">
            <v>208977.013774634</v>
          </cell>
        </row>
        <row r="8">
          <cell r="A8" t="str">
            <v>RJ</v>
          </cell>
          <cell r="B8">
            <v>12378289.412</v>
          </cell>
          <cell r="C8">
            <v>225894.118301594</v>
          </cell>
        </row>
        <row r="9">
          <cell r="A9" t="str">
            <v>SC</v>
          </cell>
          <cell r="B9">
            <v>9996964.772</v>
          </cell>
          <cell r="C9">
            <v>182436.802671118</v>
          </cell>
        </row>
        <row r="10">
          <cell r="A10" t="str">
            <v>MT</v>
          </cell>
          <cell r="B10">
            <v>4472583.372</v>
          </cell>
          <cell r="C10">
            <v>81621.1548882397</v>
          </cell>
        </row>
        <row r="11">
          <cell r="A11" t="str">
            <v>GO</v>
          </cell>
          <cell r="B11">
            <v>4630274.75</v>
          </cell>
          <cell r="C11">
            <v>84498.8994304331</v>
          </cell>
        </row>
        <row r="12">
          <cell r="A12" t="str">
            <v>DF</v>
          </cell>
          <cell r="B12">
            <v>3993633.96</v>
          </cell>
          <cell r="C12">
            <v>72880.7020248641</v>
          </cell>
        </row>
        <row r="13">
          <cell r="A13" t="str">
            <v>BA</v>
          </cell>
          <cell r="B13">
            <v>3996390.882</v>
          </cell>
          <cell r="C13">
            <v>72931.0136990937</v>
          </cell>
        </row>
        <row r="14">
          <cell r="A14" t="str">
            <v>MS</v>
          </cell>
          <cell r="B14">
            <v>3271733.81</v>
          </cell>
          <cell r="C14">
            <v>59706.5878594651</v>
          </cell>
        </row>
        <row r="15">
          <cell r="A15" t="str">
            <v>PE</v>
          </cell>
          <cell r="B15">
            <v>3563859.646</v>
          </cell>
          <cell r="C15">
            <v>65037.6563100349</v>
          </cell>
        </row>
        <row r="16">
          <cell r="A16" t="str">
            <v>ES</v>
          </cell>
          <cell r="B16">
            <v>3137923.538</v>
          </cell>
          <cell r="C16">
            <v>57264.6548582999</v>
          </cell>
        </row>
        <row r="17">
          <cell r="A17" t="str">
            <v>CE</v>
          </cell>
          <cell r="B17">
            <v>2505306.692</v>
          </cell>
          <cell r="C17">
            <v>45719.8912893234</v>
          </cell>
        </row>
        <row r="18">
          <cell r="A18" t="str">
            <v>PB</v>
          </cell>
          <cell r="B18">
            <v>1996613.228</v>
          </cell>
          <cell r="C18">
            <v>36436.6326974969</v>
          </cell>
        </row>
        <row r="19">
          <cell r="A19" t="str">
            <v>RN</v>
          </cell>
          <cell r="B19">
            <v>1930315.556</v>
          </cell>
          <cell r="C19">
            <v>35226.7519406801</v>
          </cell>
        </row>
        <row r="20">
          <cell r="A20" t="str">
            <v>PA</v>
          </cell>
          <cell r="B20">
            <v>1773670.718</v>
          </cell>
          <cell r="C20">
            <v>32368.1059364752</v>
          </cell>
        </row>
        <row r="21">
          <cell r="A21" t="str">
            <v>RO</v>
          </cell>
          <cell r="B21">
            <v>1505351.272</v>
          </cell>
          <cell r="C21">
            <v>27471.4855182627</v>
          </cell>
        </row>
        <row r="22">
          <cell r="A22" t="str">
            <v>AL</v>
          </cell>
          <cell r="B22">
            <v>1401930.012</v>
          </cell>
          <cell r="C22">
            <v>25584.1282620419</v>
          </cell>
        </row>
        <row r="23">
          <cell r="A23" t="str">
            <v>AM</v>
          </cell>
          <cell r="B23">
            <v>1406114.824</v>
          </cell>
          <cell r="C23">
            <v>25660.4978140481</v>
          </cell>
        </row>
        <row r="24">
          <cell r="A24" t="str">
            <v>SE</v>
          </cell>
          <cell r="B24">
            <v>1188123.594</v>
          </cell>
          <cell r="C24">
            <v>21682.3280476673</v>
          </cell>
        </row>
        <row r="25">
          <cell r="A25" t="str">
            <v>MA</v>
          </cell>
          <cell r="B25">
            <v>1243874.664</v>
          </cell>
          <cell r="C25">
            <v>22699.7415514921</v>
          </cell>
        </row>
        <row r="26">
          <cell r="A26" t="str">
            <v>PI</v>
          </cell>
          <cell r="B26">
            <v>1025134.762</v>
          </cell>
          <cell r="C26">
            <v>18707.9091055836</v>
          </cell>
        </row>
        <row r="27">
          <cell r="A27" t="str">
            <v>TO</v>
          </cell>
          <cell r="B27">
            <v>843287.918</v>
          </cell>
          <cell r="C27">
            <v>15389.346166549</v>
          </cell>
        </row>
        <row r="28">
          <cell r="A28" t="str">
            <v>AP</v>
          </cell>
          <cell r="B28">
            <v>636618.564</v>
          </cell>
          <cell r="C28">
            <v>11617.7917984203</v>
          </cell>
        </row>
        <row r="29">
          <cell r="A29" t="str">
            <v>AC</v>
          </cell>
          <cell r="B29">
            <v>499139.82</v>
          </cell>
          <cell r="C29">
            <v>9108.91204715324</v>
          </cell>
        </row>
        <row r="30">
          <cell r="A30" t="str">
            <v>RR</v>
          </cell>
          <cell r="B30">
            <v>200941.37</v>
          </cell>
          <cell r="C30">
            <v>3667.02313184405</v>
          </cell>
        </row>
        <row r="31">
          <cell r="A31" t="str">
            <v>Soma CAU/UF</v>
          </cell>
          <cell r="B31">
            <v>160350371.816</v>
          </cell>
          <cell r="C31">
            <v>2926269.10351545</v>
          </cell>
        </row>
        <row r="32">
          <cell r="A32" t="str">
            <v>CAU/BR</v>
          </cell>
          <cell r="B32">
            <v>40087592.954</v>
          </cell>
          <cell r="C32">
            <v>731567.275878863</v>
          </cell>
        </row>
        <row r="33">
          <cell r="A33" t="str">
            <v>TOTAL</v>
          </cell>
          <cell r="B33">
            <v>200437964.77</v>
          </cell>
          <cell r="C33">
            <v>3657836.37939432</v>
          </cell>
        </row>
      </sheetData>
      <sheetData sheetId="13">
        <row r="4">
          <cell r="A4" t="str">
            <v>AC</v>
          </cell>
          <cell r="B4">
            <v>499139.82</v>
          </cell>
          <cell r="C4">
            <v>180.836057432444</v>
          </cell>
          <cell r="D4">
            <v>39070.16</v>
          </cell>
          <cell r="E4">
            <v>4476.22</v>
          </cell>
          <cell r="F4">
            <v>43727.2160574325</v>
          </cell>
        </row>
        <row r="5">
          <cell r="A5" t="str">
            <v>AM</v>
          </cell>
          <cell r="B5">
            <v>1406114.824</v>
          </cell>
          <cell r="C5">
            <v>122.840211732934</v>
          </cell>
          <cell r="D5">
            <v>110063.62</v>
          </cell>
          <cell r="E5">
            <v>12609.86</v>
          </cell>
          <cell r="F5">
            <v>122796.320211733</v>
          </cell>
        </row>
        <row r="6">
          <cell r="A6" t="str">
            <v>AP</v>
          </cell>
          <cell r="B6">
            <v>636618.564</v>
          </cell>
          <cell r="C6">
            <v>53.5940616900192</v>
          </cell>
          <cell r="D6">
            <v>49831.31</v>
          </cell>
          <cell r="E6">
            <v>5709.11</v>
          </cell>
          <cell r="F6">
            <v>55594.01406169</v>
          </cell>
        </row>
        <row r="7">
          <cell r="A7" t="str">
            <v>PA</v>
          </cell>
          <cell r="B7">
            <v>1773670.718</v>
          </cell>
          <cell r="C7">
            <v>354.097768444301</v>
          </cell>
          <cell r="D7">
            <v>138834.05</v>
          </cell>
          <cell r="E7">
            <v>15906.05</v>
          </cell>
          <cell r="F7">
            <v>155094.197768444</v>
          </cell>
        </row>
        <row r="8">
          <cell r="A8" t="str">
            <v>RO</v>
          </cell>
          <cell r="B8">
            <v>1505351.272</v>
          </cell>
          <cell r="C8">
            <v>399.450191988891</v>
          </cell>
          <cell r="D8">
            <v>117831.35</v>
          </cell>
          <cell r="E8">
            <v>13499.8</v>
          </cell>
          <cell r="F8">
            <v>131730.600191989</v>
          </cell>
        </row>
        <row r="9">
          <cell r="A9" t="str">
            <v>RR</v>
          </cell>
          <cell r="B9">
            <v>200941.37</v>
          </cell>
          <cell r="C9">
            <v>133.013483818698</v>
          </cell>
          <cell r="D9">
            <v>15728.68</v>
          </cell>
          <cell r="E9">
            <v>1802.02</v>
          </cell>
          <cell r="F9">
            <v>17663.7134838187</v>
          </cell>
        </row>
        <row r="10">
          <cell r="A10" t="str">
            <v>TO</v>
          </cell>
          <cell r="B10">
            <v>843287.918</v>
          </cell>
          <cell r="C10">
            <v>445.493321003056</v>
          </cell>
          <cell r="D10">
            <v>66008.35</v>
          </cell>
          <cell r="E10">
            <v>7562.5</v>
          </cell>
          <cell r="F10">
            <v>74016.3433210031</v>
          </cell>
        </row>
        <row r="11">
          <cell r="A11" t="str">
            <v>Soma (N)</v>
          </cell>
          <cell r="B11">
            <v>6865124.486</v>
          </cell>
          <cell r="C11">
            <v>1689.32509611034</v>
          </cell>
          <cell r="D11">
            <v>537367.52</v>
          </cell>
          <cell r="E11">
            <v>61565.57</v>
          </cell>
          <cell r="F11">
            <v>600622.41509611</v>
          </cell>
        </row>
        <row r="12">
          <cell r="A12" t="str">
            <v>AL</v>
          </cell>
          <cell r="B12">
            <v>1401930.012</v>
          </cell>
          <cell r="C12">
            <v>397.904884836623</v>
          </cell>
          <cell r="D12">
            <v>109736.05</v>
          </cell>
          <cell r="E12">
            <v>12572.33</v>
          </cell>
          <cell r="F12">
            <v>122706.284884837</v>
          </cell>
        </row>
        <row r="13">
          <cell r="A13" t="str">
            <v>BA</v>
          </cell>
          <cell r="B13">
            <v>3996390.882</v>
          </cell>
          <cell r="C13">
            <v>1761.5916192236</v>
          </cell>
          <cell r="D13">
            <v>312817.45</v>
          </cell>
          <cell r="E13">
            <v>35839.13</v>
          </cell>
          <cell r="F13">
            <v>350418.171619224</v>
          </cell>
        </row>
        <row r="14">
          <cell r="A14" t="str">
            <v>CE</v>
          </cell>
          <cell r="B14">
            <v>2505306.692</v>
          </cell>
          <cell r="C14">
            <v>1141.36152129061</v>
          </cell>
          <cell r="D14">
            <v>196102.85</v>
          </cell>
          <cell r="E14">
            <v>22467.27</v>
          </cell>
          <cell r="F14">
            <v>219711.481521291</v>
          </cell>
        </row>
        <row r="15">
          <cell r="A15" t="str">
            <v>MA</v>
          </cell>
          <cell r="B15">
            <v>1243874.664</v>
          </cell>
          <cell r="C15">
            <v>219.679459941723</v>
          </cell>
          <cell r="D15">
            <v>97364.27</v>
          </cell>
          <cell r="E15">
            <v>11154.91</v>
          </cell>
          <cell r="F15">
            <v>108738.859459942</v>
          </cell>
        </row>
        <row r="16">
          <cell r="A16" t="str">
            <v>PB</v>
          </cell>
          <cell r="B16">
            <v>1996613.228</v>
          </cell>
          <cell r="C16">
            <v>739.370937998371</v>
          </cell>
          <cell r="D16">
            <v>156284.88</v>
          </cell>
          <cell r="E16">
            <v>17905.37</v>
          </cell>
          <cell r="F16">
            <v>174929.620937998</v>
          </cell>
        </row>
        <row r="17">
          <cell r="A17" t="str">
            <v>PE</v>
          </cell>
          <cell r="B17">
            <v>3563859.646</v>
          </cell>
          <cell r="C17">
            <v>1957.62319698668</v>
          </cell>
          <cell r="D17">
            <v>278961.07</v>
          </cell>
          <cell r="E17">
            <v>31960.24</v>
          </cell>
          <cell r="F17">
            <v>312878.933196987</v>
          </cell>
        </row>
        <row r="18">
          <cell r="A18" t="str">
            <v>PI</v>
          </cell>
          <cell r="B18">
            <v>1025134.762</v>
          </cell>
          <cell r="C18">
            <v>87.4503365715254</v>
          </cell>
          <cell r="D18">
            <v>80242.41</v>
          </cell>
          <cell r="E18">
            <v>9193.28</v>
          </cell>
          <cell r="F18">
            <v>89523.1403365715</v>
          </cell>
        </row>
        <row r="19">
          <cell r="A19" t="str">
            <v>RN</v>
          </cell>
          <cell r="B19">
            <v>1930315.556</v>
          </cell>
          <cell r="C19">
            <v>824.655503182248</v>
          </cell>
          <cell r="D19">
            <v>151095.43</v>
          </cell>
          <cell r="E19">
            <v>17310.83</v>
          </cell>
          <cell r="F19">
            <v>169230.915503182</v>
          </cell>
        </row>
        <row r="20">
          <cell r="A20" t="str">
            <v>SE</v>
          </cell>
          <cell r="B20">
            <v>1188123.594</v>
          </cell>
          <cell r="C20">
            <v>496.687473858114</v>
          </cell>
          <cell r="D20">
            <v>93000.36</v>
          </cell>
          <cell r="E20">
            <v>10654.94</v>
          </cell>
          <cell r="F20">
            <v>104151.987473858</v>
          </cell>
        </row>
        <row r="21">
          <cell r="A21" t="str">
            <v>Soma (NE)</v>
          </cell>
          <cell r="B21">
            <v>18851549.036</v>
          </cell>
          <cell r="C21">
            <v>7626.32493388949</v>
          </cell>
          <cell r="D21">
            <v>1475604.77</v>
          </cell>
          <cell r="E21">
            <v>169058.3</v>
          </cell>
          <cell r="F21">
            <v>1652289.39493389</v>
          </cell>
        </row>
        <row r="22">
          <cell r="A22" t="str">
            <v>DF</v>
          </cell>
          <cell r="B22">
            <v>3993633.96</v>
          </cell>
          <cell r="C22">
            <v>6386.49690913126</v>
          </cell>
          <cell r="D22">
            <v>312601.65</v>
          </cell>
          <cell r="E22">
            <v>35814.4</v>
          </cell>
          <cell r="F22">
            <v>354802.546909131</v>
          </cell>
        </row>
        <row r="23">
          <cell r="A23" t="str">
            <v>GO</v>
          </cell>
          <cell r="B23">
            <v>4630274.75</v>
          </cell>
          <cell r="C23">
            <v>1789.92225034851</v>
          </cell>
          <cell r="D23">
            <v>362434.7</v>
          </cell>
          <cell r="E23">
            <v>41523.72</v>
          </cell>
          <cell r="F23">
            <v>405748.342250349</v>
          </cell>
        </row>
        <row r="24">
          <cell r="A24" t="str">
            <v>MS</v>
          </cell>
          <cell r="B24">
            <v>3271733.81</v>
          </cell>
          <cell r="C24">
            <v>895.072340461729</v>
          </cell>
          <cell r="D24">
            <v>256094.92</v>
          </cell>
          <cell r="E24">
            <v>29340.49</v>
          </cell>
          <cell r="F24">
            <v>286330.482340462</v>
          </cell>
        </row>
        <row r="25">
          <cell r="A25" t="str">
            <v>MT</v>
          </cell>
          <cell r="B25">
            <v>4472583.372</v>
          </cell>
          <cell r="C25">
            <v>1919.10758690364</v>
          </cell>
          <cell r="D25">
            <v>350091.41</v>
          </cell>
          <cell r="E25">
            <v>40109.56</v>
          </cell>
          <cell r="F25">
            <v>392120.077586904</v>
          </cell>
        </row>
        <row r="26">
          <cell r="A26" t="str">
            <v>Soma (CO)</v>
          </cell>
          <cell r="B26">
            <v>16368225.892</v>
          </cell>
          <cell r="C26">
            <v>10990.5990868451</v>
          </cell>
          <cell r="D26">
            <v>1281222.68</v>
          </cell>
          <cell r="E26">
            <v>146788.18</v>
          </cell>
          <cell r="F26">
            <v>1439001.45908685</v>
          </cell>
        </row>
        <row r="27">
          <cell r="A27" t="str">
            <v>ES</v>
          </cell>
          <cell r="B27">
            <v>3137923.538</v>
          </cell>
          <cell r="C27">
            <v>1417.08177924678</v>
          </cell>
          <cell r="D27">
            <v>245620.93</v>
          </cell>
          <cell r="E27">
            <v>28140.5</v>
          </cell>
          <cell r="F27">
            <v>275178.511779247</v>
          </cell>
        </row>
        <row r="28">
          <cell r="A28" t="str">
            <v>MG</v>
          </cell>
          <cell r="B28">
            <v>11451285.126</v>
          </cell>
          <cell r="C28">
            <v>8538.50101487746</v>
          </cell>
          <cell r="D28">
            <v>896349.2</v>
          </cell>
          <cell r="E28">
            <v>102693.67</v>
          </cell>
          <cell r="F28">
            <v>1007581.37101488</v>
          </cell>
        </row>
        <row r="29">
          <cell r="A29" t="str">
            <v>RJ</v>
          </cell>
          <cell r="B29">
            <v>12378289.412</v>
          </cell>
          <cell r="C29">
            <v>16367.8582362047</v>
          </cell>
          <cell r="D29">
            <v>968910.45</v>
          </cell>
          <cell r="E29">
            <v>111006.93</v>
          </cell>
          <cell r="F29">
            <v>1096285.2382362</v>
          </cell>
        </row>
        <row r="30">
          <cell r="A30" t="str">
            <v>SP</v>
          </cell>
          <cell r="B30">
            <v>54658046.024</v>
          </cell>
          <cell r="C30">
            <v>44919.3980426567</v>
          </cell>
          <cell r="D30">
            <v>4278357.87</v>
          </cell>
          <cell r="E30">
            <v>490166.43</v>
          </cell>
          <cell r="F30">
            <v>4813443.69804266</v>
          </cell>
        </row>
        <row r="31">
          <cell r="A31" t="str">
            <v>Soma (SE)</v>
          </cell>
          <cell r="B31">
            <v>81625544.1</v>
          </cell>
          <cell r="C31">
            <v>71242.8390729856</v>
          </cell>
          <cell r="D31">
            <v>6389238.45</v>
          </cell>
          <cell r="E31">
            <v>732007.54</v>
          </cell>
          <cell r="F31">
            <v>7192488.82907299</v>
          </cell>
        </row>
        <row r="32">
          <cell r="A32" t="str">
            <v>PR</v>
          </cell>
          <cell r="B32">
            <v>11604275.962</v>
          </cell>
          <cell r="C32">
            <v>5825.56211973038</v>
          </cell>
          <cell r="D32">
            <v>908324.56</v>
          </cell>
          <cell r="E32">
            <v>104065.68</v>
          </cell>
          <cell r="F32">
            <v>1018215.80211973</v>
          </cell>
        </row>
        <row r="33">
          <cell r="A33" t="str">
            <v>RS</v>
          </cell>
          <cell r="B33">
            <v>15038687.568</v>
          </cell>
          <cell r="C33">
            <v>5538.80228113338</v>
          </cell>
          <cell r="D33">
            <v>1177153.08</v>
          </cell>
          <cell r="E33">
            <v>134865.04</v>
          </cell>
          <cell r="F33">
            <v>1317556.92228113</v>
          </cell>
        </row>
        <row r="34">
          <cell r="A34" t="str">
            <v>SC</v>
          </cell>
          <cell r="B34">
            <v>9996964.772</v>
          </cell>
          <cell r="C34">
            <v>4158.18740930566</v>
          </cell>
          <cell r="D34">
            <v>782512.29</v>
          </cell>
          <cell r="E34">
            <v>89651.51</v>
          </cell>
          <cell r="F34">
            <v>876321.987409306</v>
          </cell>
        </row>
        <row r="35">
          <cell r="A35" t="str">
            <v>Soma (S)</v>
          </cell>
          <cell r="B35">
            <v>36639928.302</v>
          </cell>
          <cell r="C35">
            <v>15522.5518101694</v>
          </cell>
          <cell r="D35">
            <v>2867989.93</v>
          </cell>
          <cell r="E35">
            <v>328582.24</v>
          </cell>
          <cell r="F35">
            <v>3212094.72181017</v>
          </cell>
        </row>
        <row r="36">
          <cell r="A36" t="str">
            <v>Soma CAU/UF</v>
          </cell>
          <cell r="B36">
            <v>160350371.816</v>
          </cell>
          <cell r="C36">
            <v>107071.64</v>
          </cell>
          <cell r="D36">
            <v>12551423.3602</v>
          </cell>
          <cell r="E36">
            <v>1438001.82</v>
          </cell>
          <cell r="F36">
            <v>14096496.8202</v>
          </cell>
        </row>
        <row r="37">
          <cell r="A37" t="str">
            <v>CAU/BR</v>
          </cell>
          <cell r="B37">
            <v>40087592.954</v>
          </cell>
          <cell r="C37">
            <v>0</v>
          </cell>
          <cell r="D37">
            <v>3137855.84</v>
          </cell>
          <cell r="E37">
            <v>359500.46</v>
          </cell>
          <cell r="F37">
            <v>3497356.3</v>
          </cell>
        </row>
        <row r="38">
          <cell r="A38" t="str">
            <v>TOTAL</v>
          </cell>
          <cell r="B38">
            <v>200437964.77</v>
          </cell>
          <cell r="C38">
            <v>107071.64</v>
          </cell>
          <cell r="D38">
            <v>15689279.2002</v>
          </cell>
          <cell r="E38">
            <v>1797502.28</v>
          </cell>
          <cell r="F38">
            <v>17593853.1202</v>
          </cell>
        </row>
      </sheetData>
      <sheetData sheetId="14"/>
      <sheetData sheetId="15"/>
      <sheetData sheetId="16">
        <row r="10">
          <cell r="A10" t="str">
            <v>TO</v>
          </cell>
        </row>
        <row r="10">
          <cell r="C10">
            <v>5193.94566581191</v>
          </cell>
        </row>
        <row r="11">
          <cell r="A11" t="str">
            <v>Soma (N)</v>
          </cell>
        </row>
        <row r="11">
          <cell r="C11">
            <v>5193.94566581191</v>
          </cell>
        </row>
        <row r="12">
          <cell r="A12" t="str">
            <v>AL</v>
          </cell>
        </row>
        <row r="12">
          <cell r="C12">
            <v>0</v>
          </cell>
        </row>
        <row r="13">
          <cell r="A13" t="str">
            <v>CE</v>
          </cell>
        </row>
        <row r="13">
          <cell r="C13">
            <v>17423.8141451639</v>
          </cell>
        </row>
        <row r="14">
          <cell r="A14" t="str">
            <v>MA</v>
          </cell>
        </row>
        <row r="14">
          <cell r="C14">
            <v>0</v>
          </cell>
        </row>
        <row r="15">
          <cell r="A15" t="str">
            <v>PB</v>
          </cell>
        </row>
        <row r="15">
          <cell r="C15">
            <v>15265.4478673222</v>
          </cell>
        </row>
        <row r="16">
          <cell r="A16" t="str">
            <v>PE</v>
          </cell>
        </row>
        <row r="16">
          <cell r="C16">
            <v>0</v>
          </cell>
        </row>
        <row r="17">
          <cell r="A17" t="str">
            <v>PI</v>
          </cell>
        </row>
        <row r="17">
          <cell r="C17">
            <v>0</v>
          </cell>
        </row>
        <row r="18">
          <cell r="A18" t="str">
            <v>RN</v>
          </cell>
        </row>
        <row r="18">
          <cell r="C18">
            <v>0</v>
          </cell>
        </row>
        <row r="19">
          <cell r="A19" t="str">
            <v>SE</v>
          </cell>
        </row>
        <row r="19">
          <cell r="C19">
            <v>8095.18418453336</v>
          </cell>
        </row>
        <row r="20">
          <cell r="A20" t="str">
            <v>Soma (NE)</v>
          </cell>
        </row>
        <row r="20">
          <cell r="C20">
            <v>40784.4461970195</v>
          </cell>
        </row>
        <row r="21">
          <cell r="A21" t="str">
            <v>DF</v>
          </cell>
        </row>
        <row r="21">
          <cell r="C21">
            <v>0</v>
          </cell>
        </row>
        <row r="22">
          <cell r="A22" t="str">
            <v>GO</v>
          </cell>
        </row>
        <row r="22">
          <cell r="C22">
            <v>0</v>
          </cell>
        </row>
        <row r="23">
          <cell r="A23" t="str">
            <v>MS</v>
          </cell>
        </row>
        <row r="23">
          <cell r="C23">
            <v>0</v>
          </cell>
        </row>
        <row r="24">
          <cell r="A24" t="str">
            <v>MT</v>
          </cell>
        </row>
        <row r="24">
          <cell r="C24">
            <v>0</v>
          </cell>
        </row>
        <row r="25">
          <cell r="A25" t="str">
            <v>Soma (CO)</v>
          </cell>
        </row>
        <row r="25">
          <cell r="C25">
            <v>0</v>
          </cell>
        </row>
        <row r="26">
          <cell r="A26" t="str">
            <v>ES</v>
          </cell>
        </row>
        <row r="26">
          <cell r="C26">
            <v>0</v>
          </cell>
        </row>
        <row r="27">
          <cell r="A27" t="str">
            <v>MG</v>
          </cell>
        </row>
        <row r="27">
          <cell r="C27">
            <v>0</v>
          </cell>
        </row>
        <row r="28">
          <cell r="A28" t="str">
            <v>RJ</v>
          </cell>
        </row>
        <row r="28">
          <cell r="C28">
            <v>157897.529749452</v>
          </cell>
        </row>
      </sheetData>
      <sheetData sheetId="17"/>
      <sheetData sheetId="18">
        <row r="3">
          <cell r="A3" t="str">
            <v>AC</v>
          </cell>
          <cell r="B3">
            <v>10273.94651536</v>
          </cell>
          <cell r="C3">
            <v>12626.98898838</v>
          </cell>
          <cell r="D3">
            <v>2525.397797676</v>
          </cell>
        </row>
        <row r="4">
          <cell r="A4" t="str">
            <v>AM</v>
          </cell>
          <cell r="B4">
            <v>22947.53015445</v>
          </cell>
          <cell r="C4">
            <v>28043.70937355</v>
          </cell>
          <cell r="D4">
            <v>5608.74187471</v>
          </cell>
        </row>
        <row r="5">
          <cell r="A5" t="str">
            <v>AP</v>
          </cell>
          <cell r="B5">
            <v>11167.56830068</v>
          </cell>
          <cell r="C5">
            <v>13844.90855826</v>
          </cell>
          <cell r="D5">
            <v>2768.981711652</v>
          </cell>
        </row>
        <row r="6">
          <cell r="A6" t="str">
            <v>PA</v>
          </cell>
          <cell r="B6">
            <v>32012.00949672</v>
          </cell>
          <cell r="C6">
            <v>39362.57366405</v>
          </cell>
          <cell r="D6">
            <v>7872.51473281</v>
          </cell>
        </row>
        <row r="7">
          <cell r="A7" t="str">
            <v>RO</v>
          </cell>
          <cell r="B7">
            <v>30055.276262</v>
          </cell>
          <cell r="C7">
            <v>28965.65589567</v>
          </cell>
          <cell r="D7">
            <v>5793.131179134</v>
          </cell>
        </row>
        <row r="8">
          <cell r="A8" t="str">
            <v>RR</v>
          </cell>
          <cell r="B8">
            <v>3201.855206</v>
          </cell>
          <cell r="C8">
            <v>3678.67787625</v>
          </cell>
          <cell r="D8">
            <v>735.73557525</v>
          </cell>
        </row>
        <row r="9">
          <cell r="A9" t="str">
            <v>TO</v>
          </cell>
          <cell r="B9">
            <v>15478.55164636</v>
          </cell>
          <cell r="C9">
            <v>16706.35303181</v>
          </cell>
          <cell r="D9">
            <v>3341.270606362</v>
          </cell>
        </row>
        <row r="10">
          <cell r="A10" t="str">
            <v>Soma (N)</v>
          </cell>
          <cell r="B10">
            <v>125136.73758157</v>
          </cell>
          <cell r="C10">
            <v>143228.86738797</v>
          </cell>
          <cell r="D10">
            <v>28645.773477594</v>
          </cell>
        </row>
        <row r="11">
          <cell r="A11" t="str">
            <v>AL</v>
          </cell>
          <cell r="B11">
            <v>24653.01760988</v>
          </cell>
          <cell r="C11">
            <v>29867.25615003</v>
          </cell>
          <cell r="D11">
            <v>5973.451230006</v>
          </cell>
        </row>
        <row r="12">
          <cell r="A12" t="str">
            <v>BA</v>
          </cell>
          <cell r="B12">
            <v>51714.570028</v>
          </cell>
          <cell r="C12">
            <v>67545.17387774</v>
          </cell>
          <cell r="D12">
            <v>13509.034775548</v>
          </cell>
        </row>
        <row r="13">
          <cell r="A13" t="str">
            <v>CE</v>
          </cell>
          <cell r="B13">
            <v>31191.999608</v>
          </cell>
          <cell r="C13">
            <v>44469.67479916</v>
          </cell>
          <cell r="D13">
            <v>8893.934959832</v>
          </cell>
        </row>
        <row r="14">
          <cell r="A14" t="str">
            <v>MA</v>
          </cell>
          <cell r="B14">
            <v>15425.545366</v>
          </cell>
          <cell r="C14">
            <v>20239.62525312</v>
          </cell>
          <cell r="D14">
            <v>4047.925050624</v>
          </cell>
        </row>
        <row r="15">
          <cell r="A15" t="str">
            <v>PB</v>
          </cell>
          <cell r="B15">
            <v>33239.41873428</v>
          </cell>
          <cell r="C15">
            <v>42986.17629826</v>
          </cell>
          <cell r="D15">
            <v>8597.235259652</v>
          </cell>
        </row>
        <row r="16">
          <cell r="A16" t="str">
            <v>PE</v>
          </cell>
          <cell r="B16">
            <v>53804.78831332</v>
          </cell>
          <cell r="C16">
            <v>68513.33799947</v>
          </cell>
          <cell r="D16">
            <v>13702.667599894</v>
          </cell>
        </row>
        <row r="17">
          <cell r="A17" t="str">
            <v>PI</v>
          </cell>
          <cell r="B17">
            <v>11533.63673</v>
          </cell>
          <cell r="C17">
            <v>16466.59531868</v>
          </cell>
          <cell r="D17">
            <v>3293.319063736</v>
          </cell>
        </row>
        <row r="18">
          <cell r="A18" t="str">
            <v>RN</v>
          </cell>
          <cell r="B18">
            <v>30959.99515532</v>
          </cell>
          <cell r="C18">
            <v>37237.14039253</v>
          </cell>
          <cell r="D18">
            <v>7447.428078506</v>
          </cell>
        </row>
        <row r="19">
          <cell r="A19" t="str">
            <v>SE</v>
          </cell>
          <cell r="B19">
            <v>22335.92870344</v>
          </cell>
          <cell r="C19">
            <v>22133.90788414</v>
          </cell>
          <cell r="D19">
            <v>4426.781576828</v>
          </cell>
        </row>
        <row r="20">
          <cell r="A20" t="str">
            <v>Soma (NE)</v>
          </cell>
          <cell r="B20">
            <v>274858.90024824</v>
          </cell>
          <cell r="C20">
            <v>349458.88797313</v>
          </cell>
          <cell r="D20">
            <v>69891.777594626</v>
          </cell>
        </row>
        <row r="21">
          <cell r="A21" t="str">
            <v>DF</v>
          </cell>
          <cell r="B21">
            <v>69949.86254168</v>
          </cell>
          <cell r="C21">
            <v>74430.44359855</v>
          </cell>
          <cell r="D21">
            <v>14886.08871971</v>
          </cell>
        </row>
        <row r="22">
          <cell r="A22" t="str">
            <v>GO</v>
          </cell>
          <cell r="B22">
            <v>95109.68994252</v>
          </cell>
          <cell r="C22">
            <v>101222.83244788</v>
          </cell>
          <cell r="D22">
            <v>20244.566489576</v>
          </cell>
        </row>
        <row r="23">
          <cell r="A23" t="str">
            <v>MS</v>
          </cell>
          <cell r="B23">
            <v>66082.20521892</v>
          </cell>
          <cell r="C23">
            <v>70943.46414779</v>
          </cell>
          <cell r="D23">
            <v>14188.692829558</v>
          </cell>
        </row>
        <row r="24">
          <cell r="A24" t="str">
            <v>MT</v>
          </cell>
          <cell r="B24">
            <v>90660.765789</v>
          </cell>
          <cell r="C24">
            <v>92696.86926214</v>
          </cell>
          <cell r="D24">
            <v>18539.373852428</v>
          </cell>
        </row>
        <row r="25">
          <cell r="A25" t="str">
            <v>Soma (CO)</v>
          </cell>
          <cell r="B25">
            <v>321802.52349212</v>
          </cell>
          <cell r="C25">
            <v>339293.60945636</v>
          </cell>
          <cell r="D25">
            <v>67858.721891272</v>
          </cell>
        </row>
        <row r="26">
          <cell r="A26" t="str">
            <v>ES</v>
          </cell>
          <cell r="B26">
            <v>53915.49952008</v>
          </cell>
          <cell r="C26">
            <v>59986.84861715</v>
          </cell>
          <cell r="D26">
            <v>11997.36972343</v>
          </cell>
        </row>
        <row r="27">
          <cell r="A27" t="str">
            <v>MG</v>
          </cell>
          <cell r="B27">
            <v>220423.0091976</v>
          </cell>
          <cell r="C27">
            <v>238732.60702122</v>
          </cell>
          <cell r="D27">
            <v>47746.521404244</v>
          </cell>
        </row>
        <row r="28">
          <cell r="A28" t="str">
            <v>RJ</v>
          </cell>
          <cell r="B28">
            <v>151303.7988858</v>
          </cell>
          <cell r="C28">
            <v>194237.56202981</v>
          </cell>
          <cell r="D28">
            <v>38847.512405962</v>
          </cell>
        </row>
        <row r="29">
          <cell r="A29" t="str">
            <v>SP</v>
          </cell>
          <cell r="B29">
            <v>806720.691953</v>
          </cell>
          <cell r="C29">
            <v>971258.49588963</v>
          </cell>
          <cell r="D29">
            <v>194251.699177926</v>
          </cell>
        </row>
        <row r="30">
          <cell r="A30" t="str">
            <v>Soma (SE)</v>
          </cell>
          <cell r="B30">
            <v>1232362.99955648</v>
          </cell>
          <cell r="C30">
            <v>1464215.51355781</v>
          </cell>
          <cell r="D30">
            <v>292843.102711562</v>
          </cell>
        </row>
        <row r="31">
          <cell r="A31" t="str">
            <v>PR</v>
          </cell>
          <cell r="B31">
            <v>266324.620001352</v>
          </cell>
          <cell r="C31">
            <v>277880.01639801</v>
          </cell>
          <cell r="D31">
            <v>55576.003279602</v>
          </cell>
        </row>
        <row r="32">
          <cell r="A32" t="str">
            <v>RS</v>
          </cell>
          <cell r="B32">
            <v>288444.072686</v>
          </cell>
          <cell r="C32">
            <v>330970.34471033</v>
          </cell>
          <cell r="D32">
            <v>66194.068942066</v>
          </cell>
        </row>
        <row r="33">
          <cell r="A33" t="str">
            <v>SC</v>
          </cell>
          <cell r="B33">
            <v>197522.77843672</v>
          </cell>
          <cell r="C33">
            <v>205803.09975992</v>
          </cell>
          <cell r="D33">
            <v>41160.619951984</v>
          </cell>
        </row>
        <row r="34">
          <cell r="A34" t="str">
            <v>Soma (S)</v>
          </cell>
          <cell r="B34">
            <v>752291.471124072</v>
          </cell>
          <cell r="C34">
            <v>814653.46086826</v>
          </cell>
          <cell r="D34">
            <v>162930.692173652</v>
          </cell>
        </row>
        <row r="35">
          <cell r="A35" t="str">
            <v>Soma CAU/UF</v>
          </cell>
          <cell r="B35">
            <v>2706452.63200248</v>
          </cell>
          <cell r="C35">
            <v>3110850.33924353</v>
          </cell>
          <cell r="D35">
            <v>622170.067848706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monstrativos 2020"/>
      <sheetName val="Demonstrativos (2)"/>
    </sheetNames>
    <sheetDataSet>
      <sheetData sheetId="0">
        <row r="6">
          <cell r="A6" t="str">
            <v>AC</v>
          </cell>
          <cell r="B6">
            <v>978773.19</v>
          </cell>
          <cell r="C6">
            <v>0</v>
          </cell>
          <cell r="D6">
            <v>811356.82</v>
          </cell>
          <cell r="E6">
            <v>0</v>
          </cell>
          <cell r="F6">
            <v>1084650.11</v>
          </cell>
          <cell r="G6">
            <v>903622.42</v>
          </cell>
          <cell r="H6">
            <v>949922.82</v>
          </cell>
          <cell r="I6">
            <v>126023.94</v>
          </cell>
          <cell r="J6">
            <v>62435.71</v>
          </cell>
          <cell r="K6">
            <v>0</v>
          </cell>
          <cell r="L6">
            <v>1013511.05</v>
          </cell>
          <cell r="M6">
            <v>574550.11</v>
          </cell>
          <cell r="N6">
            <v>732116.46</v>
          </cell>
          <cell r="O6">
            <v>1010905.87</v>
          </cell>
          <cell r="P6">
            <v>990905.87</v>
          </cell>
          <cell r="Q6">
            <v>505048.81</v>
          </cell>
          <cell r="R6">
            <v>30055.47</v>
          </cell>
          <cell r="S6">
            <v>0</v>
          </cell>
          <cell r="T6">
            <v>0</v>
          </cell>
          <cell r="U6">
            <v>167416.37</v>
          </cell>
          <cell r="V6">
            <v>197471.84</v>
          </cell>
          <cell r="W6">
            <v>167416.37</v>
          </cell>
          <cell r="X6">
            <v>181027.69</v>
          </cell>
          <cell r="Y6">
            <v>669680.75</v>
          </cell>
        </row>
        <row r="7">
          <cell r="A7" t="str">
            <v>AL</v>
          </cell>
          <cell r="B7">
            <v>1232952.55</v>
          </cell>
          <cell r="C7">
            <v>0</v>
          </cell>
          <cell r="D7">
            <v>1020468.41</v>
          </cell>
          <cell r="E7">
            <v>688</v>
          </cell>
          <cell r="F7">
            <v>1527298.6</v>
          </cell>
          <cell r="G7">
            <v>1108782.44</v>
          </cell>
          <cell r="H7">
            <v>1287698.23</v>
          </cell>
          <cell r="I7">
            <v>760473.78</v>
          </cell>
          <cell r="J7">
            <v>42830.42</v>
          </cell>
          <cell r="K7">
            <v>0</v>
          </cell>
          <cell r="L7">
            <v>2005341.59</v>
          </cell>
          <cell r="M7">
            <v>326613.36</v>
          </cell>
          <cell r="N7">
            <v>562393.9</v>
          </cell>
          <cell r="O7">
            <v>1171655.42</v>
          </cell>
          <cell r="P7">
            <v>1166655.42</v>
          </cell>
          <cell r="Q7">
            <v>622829.93</v>
          </cell>
          <cell r="R7">
            <v>0</v>
          </cell>
          <cell r="S7">
            <v>60000</v>
          </cell>
          <cell r="T7">
            <v>0</v>
          </cell>
          <cell r="U7">
            <v>211796.14</v>
          </cell>
          <cell r="V7">
            <v>211796.14</v>
          </cell>
          <cell r="W7">
            <v>212484.14</v>
          </cell>
          <cell r="X7">
            <v>418516.16</v>
          </cell>
          <cell r="Y7">
            <v>459563.48</v>
          </cell>
        </row>
        <row r="8">
          <cell r="A8" t="str">
            <v>AM</v>
          </cell>
          <cell r="B8">
            <v>1241396.67</v>
          </cell>
          <cell r="C8">
            <v>0</v>
          </cell>
          <cell r="D8">
            <v>956882.46</v>
          </cell>
          <cell r="E8">
            <v>3756.83</v>
          </cell>
          <cell r="F8">
            <v>1463185.74</v>
          </cell>
          <cell r="G8">
            <v>1072854.67</v>
          </cell>
          <cell r="H8">
            <v>1723675.64</v>
          </cell>
          <cell r="I8">
            <v>212206.62</v>
          </cell>
          <cell r="J8">
            <v>75196.09</v>
          </cell>
          <cell r="K8">
            <v>0</v>
          </cell>
          <cell r="L8">
            <v>1860686.17</v>
          </cell>
          <cell r="M8">
            <v>853165.82</v>
          </cell>
          <cell r="N8">
            <v>1059255.37</v>
          </cell>
          <cell r="O8">
            <v>1068946.62</v>
          </cell>
          <cell r="P8">
            <v>1059146.62</v>
          </cell>
          <cell r="Q8">
            <v>619869.86</v>
          </cell>
          <cell r="R8">
            <v>0</v>
          </cell>
          <cell r="S8">
            <v>0</v>
          </cell>
          <cell r="T8">
            <v>0</v>
          </cell>
          <cell r="U8">
            <v>280757.38</v>
          </cell>
          <cell r="V8">
            <v>280757.38</v>
          </cell>
          <cell r="W8">
            <v>284514.21</v>
          </cell>
          <cell r="X8">
            <v>390331.07</v>
          </cell>
          <cell r="Y8">
            <v>984059.28</v>
          </cell>
        </row>
        <row r="9">
          <cell r="A9" t="str">
            <v>AP</v>
          </cell>
          <cell r="B9">
            <v>1038921.88</v>
          </cell>
          <cell r="C9">
            <v>0</v>
          </cell>
          <cell r="D9">
            <v>785057.71</v>
          </cell>
          <cell r="E9">
            <v>0</v>
          </cell>
          <cell r="F9">
            <v>1223891.38</v>
          </cell>
          <cell r="G9">
            <v>826987.88</v>
          </cell>
          <cell r="H9">
            <v>1202391.98</v>
          </cell>
          <cell r="I9">
            <v>600585.04</v>
          </cell>
          <cell r="J9">
            <v>59267.76</v>
          </cell>
          <cell r="K9">
            <v>0</v>
          </cell>
          <cell r="L9">
            <v>1743709.26</v>
          </cell>
          <cell r="M9">
            <v>652916.73</v>
          </cell>
          <cell r="N9">
            <v>889023.08</v>
          </cell>
          <cell r="O9">
            <v>1000166.43</v>
          </cell>
          <cell r="P9">
            <v>988166.43</v>
          </cell>
          <cell r="Q9">
            <v>534649.97</v>
          </cell>
          <cell r="R9">
            <v>14809.21</v>
          </cell>
          <cell r="S9">
            <v>0</v>
          </cell>
          <cell r="T9">
            <v>0</v>
          </cell>
          <cell r="U9">
            <v>253864.17</v>
          </cell>
          <cell r="V9">
            <v>268673.38</v>
          </cell>
          <cell r="W9">
            <v>253864.17</v>
          </cell>
          <cell r="X9">
            <v>396903.5</v>
          </cell>
          <cell r="Y9">
            <v>829755.32</v>
          </cell>
        </row>
        <row r="10">
          <cell r="A10" t="str">
            <v>BA</v>
          </cell>
          <cell r="B10">
            <v>3454832.83</v>
          </cell>
          <cell r="C10">
            <v>0</v>
          </cell>
          <cell r="D10">
            <v>2151451.59</v>
          </cell>
          <cell r="E10">
            <v>15148</v>
          </cell>
          <cell r="F10">
            <v>4257378.78</v>
          </cell>
          <cell r="G10">
            <v>2466338.5</v>
          </cell>
          <cell r="H10">
            <v>8150127.09</v>
          </cell>
          <cell r="I10">
            <v>357324.03</v>
          </cell>
          <cell r="J10">
            <v>289864.38</v>
          </cell>
          <cell r="K10">
            <v>0</v>
          </cell>
          <cell r="L10">
            <v>8217586.74</v>
          </cell>
          <cell r="M10">
            <v>5137764.32</v>
          </cell>
          <cell r="N10">
            <v>6656763.69</v>
          </cell>
          <cell r="O10">
            <v>2866289.87</v>
          </cell>
          <cell r="P10">
            <v>2836289.87</v>
          </cell>
          <cell r="Q10">
            <v>1594503.58</v>
          </cell>
          <cell r="R10">
            <v>0</v>
          </cell>
          <cell r="S10">
            <v>51922.5</v>
          </cell>
          <cell r="T10">
            <v>0</v>
          </cell>
          <cell r="U10">
            <v>1288233.24</v>
          </cell>
          <cell r="V10">
            <v>1288233.24</v>
          </cell>
          <cell r="W10">
            <v>1303381.24</v>
          </cell>
          <cell r="X10">
            <v>1791040.28</v>
          </cell>
          <cell r="Y10">
            <v>6314976.81</v>
          </cell>
        </row>
        <row r="11">
          <cell r="A11" t="str">
            <v>CE</v>
          </cell>
          <cell r="B11">
            <v>2050345.81</v>
          </cell>
          <cell r="C11">
            <v>0</v>
          </cell>
          <cell r="D11">
            <v>1793009.97</v>
          </cell>
          <cell r="E11">
            <v>33292.07</v>
          </cell>
          <cell r="F11">
            <v>2215731.67</v>
          </cell>
          <cell r="G11">
            <v>1648539.46</v>
          </cell>
          <cell r="H11">
            <v>2445257.73</v>
          </cell>
          <cell r="I11">
            <v>158622.21</v>
          </cell>
          <cell r="J11">
            <v>185592.41</v>
          </cell>
          <cell r="K11">
            <v>2051.8</v>
          </cell>
          <cell r="L11">
            <v>2416235.73</v>
          </cell>
          <cell r="M11">
            <v>1215480.84</v>
          </cell>
          <cell r="N11">
            <v>1578097.27</v>
          </cell>
          <cell r="O11">
            <v>2025319.23</v>
          </cell>
          <cell r="P11">
            <v>2044266.58</v>
          </cell>
          <cell r="Q11">
            <v>1226756.6</v>
          </cell>
          <cell r="R11">
            <v>0</v>
          </cell>
          <cell r="S11">
            <v>205100</v>
          </cell>
          <cell r="T11">
            <v>105</v>
          </cell>
          <cell r="U11">
            <v>224043.77</v>
          </cell>
          <cell r="V11">
            <v>224043.77</v>
          </cell>
          <cell r="W11">
            <v>257335.84</v>
          </cell>
          <cell r="X11">
            <v>567192.21</v>
          </cell>
          <cell r="Y11">
            <v>1187299.86</v>
          </cell>
        </row>
        <row r="12">
          <cell r="A12" t="str">
            <v>DF</v>
          </cell>
          <cell r="B12">
            <v>3530642.54</v>
          </cell>
          <cell r="C12">
            <v>0</v>
          </cell>
          <cell r="D12">
            <v>2961158.13</v>
          </cell>
          <cell r="E12">
            <v>994956.11</v>
          </cell>
          <cell r="F12">
            <v>4292084.75</v>
          </cell>
          <cell r="G12">
            <v>3596089.73</v>
          </cell>
          <cell r="H12">
            <v>2846742.21</v>
          </cell>
          <cell r="I12">
            <v>1882602.73</v>
          </cell>
          <cell r="J12">
            <v>302714.06</v>
          </cell>
          <cell r="K12">
            <v>0</v>
          </cell>
          <cell r="L12">
            <v>4422630.88</v>
          </cell>
          <cell r="M12">
            <v>1861351</v>
          </cell>
          <cell r="N12">
            <v>1697822.2</v>
          </cell>
          <cell r="O12">
            <v>3211385.33</v>
          </cell>
          <cell r="P12">
            <v>3249106.63</v>
          </cell>
          <cell r="Q12">
            <v>1847377.09</v>
          </cell>
          <cell r="R12">
            <v>0</v>
          </cell>
          <cell r="S12">
            <v>374404.28</v>
          </cell>
          <cell r="T12">
            <v>0</v>
          </cell>
          <cell r="U12">
            <v>-425471.7</v>
          </cell>
          <cell r="V12">
            <v>-425471.7</v>
          </cell>
          <cell r="W12">
            <v>569484.41</v>
          </cell>
          <cell r="X12">
            <v>695995.02</v>
          </cell>
          <cell r="Y12">
            <v>1020703.86</v>
          </cell>
        </row>
        <row r="13">
          <cell r="A13" t="str">
            <v>ES</v>
          </cell>
          <cell r="B13">
            <v>2592986.43</v>
          </cell>
          <cell r="C13">
            <v>0</v>
          </cell>
          <cell r="D13">
            <v>2016598.02</v>
          </cell>
          <cell r="E13">
            <v>8434</v>
          </cell>
          <cell r="F13">
            <v>2838894.52</v>
          </cell>
          <cell r="G13">
            <v>2157568.39</v>
          </cell>
          <cell r="H13">
            <v>2849086.05</v>
          </cell>
          <cell r="I13">
            <v>233413.04</v>
          </cell>
          <cell r="J13">
            <v>237456.77</v>
          </cell>
          <cell r="K13">
            <v>0</v>
          </cell>
          <cell r="L13">
            <v>2845042.32</v>
          </cell>
          <cell r="M13">
            <v>1744928.28</v>
          </cell>
          <cell r="N13">
            <v>2343872.76</v>
          </cell>
          <cell r="O13">
            <v>2491483.12</v>
          </cell>
          <cell r="P13">
            <v>2456483.12</v>
          </cell>
          <cell r="Q13">
            <v>1323989.18</v>
          </cell>
          <cell r="R13">
            <v>0</v>
          </cell>
          <cell r="S13">
            <v>21233.34</v>
          </cell>
          <cell r="T13">
            <v>0</v>
          </cell>
          <cell r="U13">
            <v>567954.41</v>
          </cell>
          <cell r="V13">
            <v>567954.41</v>
          </cell>
          <cell r="W13">
            <v>576388.41</v>
          </cell>
          <cell r="X13">
            <v>681326.13</v>
          </cell>
          <cell r="Y13">
            <v>2085182.65</v>
          </cell>
        </row>
        <row r="14">
          <cell r="A14" t="str">
            <v>GO</v>
          </cell>
          <cell r="B14">
            <v>4002082.27</v>
          </cell>
          <cell r="C14">
            <v>0</v>
          </cell>
          <cell r="D14">
            <v>2823433.91</v>
          </cell>
          <cell r="E14">
            <v>58369.63</v>
          </cell>
          <cell r="F14">
            <v>4551799.74</v>
          </cell>
          <cell r="G14">
            <v>3252818.05</v>
          </cell>
          <cell r="H14">
            <v>3787031.29</v>
          </cell>
          <cell r="I14">
            <v>2329825.85</v>
          </cell>
          <cell r="J14">
            <v>302075.14</v>
          </cell>
          <cell r="K14">
            <v>10392.21</v>
          </cell>
          <cell r="L14">
            <v>5804389.79</v>
          </cell>
          <cell r="M14">
            <v>1189699</v>
          </cell>
          <cell r="N14">
            <v>2472301.44</v>
          </cell>
          <cell r="O14">
            <v>3296036</v>
          </cell>
          <cell r="P14">
            <v>3295636</v>
          </cell>
          <cell r="Q14">
            <v>1863190.03</v>
          </cell>
          <cell r="R14">
            <v>0</v>
          </cell>
          <cell r="S14">
            <v>154314.5</v>
          </cell>
          <cell r="T14">
            <v>0</v>
          </cell>
          <cell r="U14">
            <v>1120278.73</v>
          </cell>
          <cell r="V14">
            <v>1120278.73</v>
          </cell>
          <cell r="W14">
            <v>1178648.36</v>
          </cell>
          <cell r="X14">
            <v>1298981.69</v>
          </cell>
          <cell r="Y14">
            <v>2015911.8</v>
          </cell>
        </row>
        <row r="15">
          <cell r="A15" t="str">
            <v>MA</v>
          </cell>
          <cell r="B15">
            <v>1212982.17</v>
          </cell>
          <cell r="C15">
            <v>0</v>
          </cell>
          <cell r="D15">
            <v>1052036.28</v>
          </cell>
          <cell r="E15">
            <v>13520</v>
          </cell>
          <cell r="F15">
            <v>1495133.16</v>
          </cell>
          <cell r="G15">
            <v>1304445.54</v>
          </cell>
          <cell r="H15">
            <v>646735.45</v>
          </cell>
          <cell r="I15">
            <v>370288.29</v>
          </cell>
          <cell r="J15">
            <v>129228.68</v>
          </cell>
          <cell r="K15">
            <v>0</v>
          </cell>
          <cell r="L15">
            <v>887795.06</v>
          </cell>
          <cell r="M15">
            <v>48589.91</v>
          </cell>
          <cell r="N15">
            <v>196547.11</v>
          </cell>
          <cell r="O15">
            <v>1148553.86</v>
          </cell>
          <cell r="P15">
            <v>1126766.35</v>
          </cell>
          <cell r="Q15">
            <v>667917.18</v>
          </cell>
          <cell r="R15">
            <v>0</v>
          </cell>
          <cell r="S15">
            <v>0</v>
          </cell>
          <cell r="T15">
            <v>0</v>
          </cell>
          <cell r="U15">
            <v>147425.89</v>
          </cell>
          <cell r="V15">
            <v>147425.89</v>
          </cell>
          <cell r="W15">
            <v>160945.89</v>
          </cell>
          <cell r="X15">
            <v>190687.62</v>
          </cell>
          <cell r="Y15">
            <v>67318.43</v>
          </cell>
        </row>
        <row r="16">
          <cell r="A16" t="str">
            <v>MG</v>
          </cell>
          <cell r="B16">
            <v>10326854</v>
          </cell>
          <cell r="C16">
            <v>0</v>
          </cell>
          <cell r="D16">
            <v>7006836.81</v>
          </cell>
          <cell r="E16">
            <v>1699</v>
          </cell>
          <cell r="F16">
            <v>11477778.56</v>
          </cell>
          <cell r="G16">
            <v>7718927.03</v>
          </cell>
          <cell r="H16">
            <v>13794536.65</v>
          </cell>
          <cell r="I16">
            <v>217015.83</v>
          </cell>
          <cell r="J16">
            <v>770508.4</v>
          </cell>
          <cell r="K16">
            <v>65350</v>
          </cell>
          <cell r="L16">
            <v>13175694.08</v>
          </cell>
          <cell r="M16">
            <v>6765524.31</v>
          </cell>
          <cell r="N16">
            <v>10061787.94</v>
          </cell>
          <cell r="O16">
            <v>9279185.98</v>
          </cell>
          <cell r="P16">
            <v>9174154.88</v>
          </cell>
          <cell r="Q16">
            <v>4292388.7</v>
          </cell>
          <cell r="R16">
            <v>0</v>
          </cell>
          <cell r="S16">
            <v>0</v>
          </cell>
          <cell r="T16">
            <v>0</v>
          </cell>
          <cell r="U16">
            <v>3318318.19</v>
          </cell>
          <cell r="V16">
            <v>3318318.19</v>
          </cell>
          <cell r="W16">
            <v>3320017.19</v>
          </cell>
          <cell r="X16">
            <v>3758851.53</v>
          </cell>
          <cell r="Y16">
            <v>9291279.54</v>
          </cell>
        </row>
        <row r="17">
          <cell r="A17" t="str">
            <v>MS</v>
          </cell>
          <cell r="B17">
            <v>2718177.3</v>
          </cell>
          <cell r="C17">
            <v>0</v>
          </cell>
          <cell r="D17">
            <v>2281383.7</v>
          </cell>
          <cell r="E17">
            <v>20566.4</v>
          </cell>
          <cell r="F17">
            <v>3341133.51</v>
          </cell>
          <cell r="G17">
            <v>2802841.46</v>
          </cell>
          <cell r="H17">
            <v>2083168.26</v>
          </cell>
          <cell r="I17">
            <v>655993.38</v>
          </cell>
          <cell r="J17">
            <v>307016.51</v>
          </cell>
          <cell r="K17">
            <v>0</v>
          </cell>
          <cell r="L17">
            <v>2432145.13</v>
          </cell>
          <cell r="M17">
            <v>586710.06</v>
          </cell>
          <cell r="N17">
            <v>1044183.59</v>
          </cell>
          <cell r="O17">
            <v>2429192.99</v>
          </cell>
          <cell r="P17">
            <v>2470932.46</v>
          </cell>
          <cell r="Q17">
            <v>1169315.46</v>
          </cell>
          <cell r="R17">
            <v>0</v>
          </cell>
          <cell r="S17">
            <v>21386.51</v>
          </cell>
          <cell r="T17">
            <v>0</v>
          </cell>
          <cell r="U17">
            <v>416227.2</v>
          </cell>
          <cell r="V17">
            <v>416227.2</v>
          </cell>
          <cell r="W17">
            <v>436793.6</v>
          </cell>
          <cell r="X17">
            <v>538292.05</v>
          </cell>
          <cell r="Y17">
            <v>715780.57</v>
          </cell>
        </row>
        <row r="18">
          <cell r="A18" t="str">
            <v>MT</v>
          </cell>
          <cell r="B18">
            <v>3708941.44</v>
          </cell>
          <cell r="C18">
            <v>0</v>
          </cell>
          <cell r="D18">
            <v>2601941.22</v>
          </cell>
          <cell r="E18">
            <v>68837.17</v>
          </cell>
          <cell r="F18">
            <v>4120554.01</v>
          </cell>
          <cell r="G18">
            <v>2878371.66</v>
          </cell>
          <cell r="H18">
            <v>2974045.01</v>
          </cell>
          <cell r="I18">
            <v>1849318.15</v>
          </cell>
          <cell r="J18">
            <v>117686.52</v>
          </cell>
          <cell r="K18">
            <v>162630.94</v>
          </cell>
          <cell r="L18">
            <v>4543045.7</v>
          </cell>
          <cell r="M18">
            <v>967982.22</v>
          </cell>
          <cell r="N18">
            <v>2003094.07</v>
          </cell>
          <cell r="O18">
            <v>3424511.65</v>
          </cell>
          <cell r="P18">
            <v>3600943.06</v>
          </cell>
          <cell r="Q18">
            <v>1304745.25</v>
          </cell>
          <cell r="R18">
            <v>0</v>
          </cell>
          <cell r="S18">
            <v>48434</v>
          </cell>
          <cell r="T18">
            <v>0</v>
          </cell>
          <cell r="U18">
            <v>1038163.05</v>
          </cell>
          <cell r="V18">
            <v>1038163.05</v>
          </cell>
          <cell r="W18">
            <v>1107000.22</v>
          </cell>
          <cell r="X18">
            <v>1242182.35</v>
          </cell>
          <cell r="Y18">
            <v>1836973.55</v>
          </cell>
        </row>
        <row r="19">
          <cell r="A19" t="str">
            <v>PA</v>
          </cell>
          <cell r="B19">
            <v>1639966.33</v>
          </cell>
          <cell r="C19">
            <v>0</v>
          </cell>
          <cell r="D19">
            <v>1241333.3</v>
          </cell>
          <cell r="E19">
            <v>19692.7</v>
          </cell>
          <cell r="F19">
            <v>2193025.38</v>
          </cell>
          <cell r="G19">
            <v>1720990.3</v>
          </cell>
          <cell r="H19">
            <v>2451115.16</v>
          </cell>
          <cell r="I19">
            <v>1044025.74</v>
          </cell>
          <cell r="J19">
            <v>113897.14</v>
          </cell>
          <cell r="K19">
            <v>0</v>
          </cell>
          <cell r="L19">
            <v>3381243.76</v>
          </cell>
          <cell r="M19">
            <v>1043434.65</v>
          </cell>
          <cell r="N19">
            <v>1427496.1</v>
          </cell>
          <cell r="O19">
            <v>1299067.47</v>
          </cell>
          <cell r="P19">
            <v>1299067.47</v>
          </cell>
          <cell r="Q19">
            <v>760806.02</v>
          </cell>
          <cell r="R19">
            <v>0</v>
          </cell>
          <cell r="S19">
            <v>0</v>
          </cell>
          <cell r="T19">
            <v>0</v>
          </cell>
          <cell r="U19">
            <v>378940.33</v>
          </cell>
          <cell r="V19">
            <v>378940.33</v>
          </cell>
          <cell r="W19">
            <v>398633.03</v>
          </cell>
          <cell r="X19">
            <v>472035.08</v>
          </cell>
          <cell r="Y19">
            <v>1313598.96</v>
          </cell>
        </row>
        <row r="20">
          <cell r="A20" t="str">
            <v>PB</v>
          </cell>
          <cell r="B20">
            <v>1738806.61</v>
          </cell>
          <cell r="C20">
            <v>0</v>
          </cell>
          <cell r="D20">
            <v>1268888.11</v>
          </cell>
          <cell r="E20">
            <v>13740</v>
          </cell>
          <cell r="F20">
            <v>2147388.53</v>
          </cell>
          <cell r="G20">
            <v>1309772.36</v>
          </cell>
          <cell r="H20">
            <v>2266273.1</v>
          </cell>
          <cell r="I20">
            <v>78678.87</v>
          </cell>
          <cell r="J20">
            <v>89650.74</v>
          </cell>
          <cell r="K20">
            <v>15000</v>
          </cell>
          <cell r="L20">
            <v>2240301.23</v>
          </cell>
          <cell r="M20">
            <v>922378.88</v>
          </cell>
          <cell r="N20">
            <v>1378135.26</v>
          </cell>
          <cell r="O20">
            <v>1232272.78</v>
          </cell>
          <cell r="P20">
            <v>1422651.66</v>
          </cell>
          <cell r="Q20">
            <v>842664.59</v>
          </cell>
          <cell r="R20">
            <v>0</v>
          </cell>
          <cell r="S20">
            <v>0</v>
          </cell>
          <cell r="T20">
            <v>0</v>
          </cell>
          <cell r="U20">
            <v>456178.5</v>
          </cell>
          <cell r="V20">
            <v>456178.5</v>
          </cell>
          <cell r="W20">
            <v>469918.5</v>
          </cell>
          <cell r="X20">
            <v>837616.17</v>
          </cell>
          <cell r="Y20">
            <v>1288484.52</v>
          </cell>
        </row>
        <row r="21">
          <cell r="A21" t="str">
            <v>PE</v>
          </cell>
          <cell r="B21">
            <v>2943446.82</v>
          </cell>
          <cell r="C21">
            <v>0</v>
          </cell>
          <cell r="D21">
            <v>2613657.85</v>
          </cell>
          <cell r="E21">
            <v>0</v>
          </cell>
          <cell r="F21">
            <v>3147576.8</v>
          </cell>
          <cell r="G21">
            <v>2800473.4</v>
          </cell>
          <cell r="H21">
            <v>2341240.95</v>
          </cell>
          <cell r="I21">
            <v>200633.49</v>
          </cell>
          <cell r="J21">
            <v>330011.31</v>
          </cell>
          <cell r="K21">
            <v>0</v>
          </cell>
          <cell r="L21">
            <v>2211863.13</v>
          </cell>
          <cell r="M21">
            <v>793889.42</v>
          </cell>
          <cell r="N21">
            <v>1111398.71</v>
          </cell>
          <cell r="O21">
            <v>2846692.76</v>
          </cell>
          <cell r="P21">
            <v>2846692.76</v>
          </cell>
          <cell r="Q21">
            <v>1425738.55</v>
          </cell>
          <cell r="R21">
            <v>0</v>
          </cell>
          <cell r="S21">
            <v>0</v>
          </cell>
          <cell r="T21">
            <v>0</v>
          </cell>
          <cell r="U21">
            <v>329788.97</v>
          </cell>
          <cell r="V21">
            <v>329788.97</v>
          </cell>
          <cell r="W21">
            <v>329788.97</v>
          </cell>
          <cell r="X21">
            <v>347103.4</v>
          </cell>
          <cell r="Y21">
            <v>781387.4</v>
          </cell>
        </row>
        <row r="22">
          <cell r="A22" t="str">
            <v>PI</v>
          </cell>
          <cell r="B22">
            <v>1079212.19</v>
          </cell>
          <cell r="C22">
            <v>0</v>
          </cell>
          <cell r="D22">
            <v>949433.08</v>
          </cell>
          <cell r="E22">
            <v>0</v>
          </cell>
          <cell r="F22">
            <v>1251040.42</v>
          </cell>
          <cell r="G22">
            <v>1085098.58</v>
          </cell>
          <cell r="H22">
            <v>499880.94</v>
          </cell>
          <cell r="I22">
            <v>223313.72</v>
          </cell>
          <cell r="J22">
            <v>96582.95</v>
          </cell>
          <cell r="K22">
            <v>0</v>
          </cell>
          <cell r="L22">
            <v>626611.71</v>
          </cell>
          <cell r="M22">
            <v>69920.56</v>
          </cell>
          <cell r="N22">
            <v>198763.41</v>
          </cell>
          <cell r="O22">
            <v>967998.82</v>
          </cell>
          <cell r="P22">
            <v>967998.82</v>
          </cell>
          <cell r="Q22">
            <v>636026.77</v>
          </cell>
          <cell r="R22">
            <v>6734.37</v>
          </cell>
          <cell r="S22">
            <v>0</v>
          </cell>
          <cell r="T22">
            <v>0</v>
          </cell>
          <cell r="U22">
            <v>129779.11</v>
          </cell>
          <cell r="V22">
            <v>136513.48</v>
          </cell>
          <cell r="W22">
            <v>129779.11</v>
          </cell>
          <cell r="X22">
            <v>165941.84</v>
          </cell>
          <cell r="Y22">
            <v>102180.46</v>
          </cell>
        </row>
        <row r="23">
          <cell r="A23" t="str">
            <v>PR</v>
          </cell>
          <cell r="B23">
            <v>11440515.41</v>
          </cell>
          <cell r="C23">
            <v>0</v>
          </cell>
          <cell r="D23">
            <v>8533386.65</v>
          </cell>
          <cell r="E23">
            <v>68167.01</v>
          </cell>
          <cell r="F23">
            <v>12720743</v>
          </cell>
          <cell r="G23">
            <v>9510350.87</v>
          </cell>
          <cell r="H23">
            <v>17684062.65</v>
          </cell>
          <cell r="I23">
            <v>5929496.57</v>
          </cell>
          <cell r="J23">
            <v>998855.31</v>
          </cell>
          <cell r="K23">
            <v>0</v>
          </cell>
          <cell r="L23">
            <v>22614703.91</v>
          </cell>
          <cell r="M23">
            <v>12336999.21</v>
          </cell>
          <cell r="N23">
            <v>15075623.26</v>
          </cell>
          <cell r="O23">
            <v>10305550.45</v>
          </cell>
          <cell r="P23">
            <v>10305550.45</v>
          </cell>
          <cell r="Q23">
            <v>4927779.68</v>
          </cell>
          <cell r="R23">
            <v>0</v>
          </cell>
          <cell r="S23">
            <v>185618.9</v>
          </cell>
          <cell r="T23">
            <v>13000</v>
          </cell>
          <cell r="U23">
            <v>2838961.75</v>
          </cell>
          <cell r="V23">
            <v>2838961.75</v>
          </cell>
          <cell r="W23">
            <v>2907128.76</v>
          </cell>
          <cell r="X23">
            <v>3210392.13</v>
          </cell>
          <cell r="Y23">
            <v>13878149.05</v>
          </cell>
        </row>
        <row r="24">
          <cell r="A24" t="str">
            <v>RJ</v>
          </cell>
          <cell r="B24">
            <v>10251251.6</v>
          </cell>
          <cell r="C24">
            <v>0</v>
          </cell>
          <cell r="D24">
            <v>9505178.72</v>
          </cell>
          <cell r="E24">
            <v>1509.21</v>
          </cell>
          <cell r="F24">
            <v>13164815.32</v>
          </cell>
          <cell r="G24">
            <v>9980989.78</v>
          </cell>
          <cell r="H24">
            <v>11648752.3</v>
          </cell>
          <cell r="I24">
            <v>10417776.13</v>
          </cell>
          <cell r="J24">
            <v>1472931.88</v>
          </cell>
          <cell r="K24">
            <v>61933.11</v>
          </cell>
          <cell r="L24">
            <v>20531663.44</v>
          </cell>
          <cell r="M24">
            <v>7479123.23</v>
          </cell>
          <cell r="N24">
            <v>7415886.79</v>
          </cell>
          <cell r="O24">
            <v>8780322.01</v>
          </cell>
          <cell r="P24">
            <v>10203112.85</v>
          </cell>
          <cell r="Q24">
            <v>5924389.28</v>
          </cell>
          <cell r="R24">
            <v>0</v>
          </cell>
          <cell r="S24">
            <v>0</v>
          </cell>
          <cell r="T24">
            <v>0</v>
          </cell>
          <cell r="U24">
            <v>744563.669999998</v>
          </cell>
          <cell r="V24">
            <v>744563.669999998</v>
          </cell>
          <cell r="W24">
            <v>746072.879999999</v>
          </cell>
          <cell r="X24">
            <v>3183825.54</v>
          </cell>
          <cell r="Y24">
            <v>5942954.91</v>
          </cell>
        </row>
        <row r="25">
          <cell r="A25" t="str">
            <v>RN</v>
          </cell>
          <cell r="B25">
            <v>1570186.73</v>
          </cell>
          <cell r="C25">
            <v>0</v>
          </cell>
          <cell r="D25">
            <v>1272751.75</v>
          </cell>
          <cell r="E25">
            <v>8143.44</v>
          </cell>
          <cell r="F25">
            <v>1895977.86</v>
          </cell>
          <cell r="G25">
            <v>1310507.01</v>
          </cell>
          <cell r="H25">
            <v>2125444.2</v>
          </cell>
          <cell r="I25">
            <v>847440.98</v>
          </cell>
          <cell r="J25">
            <v>138451.01</v>
          </cell>
          <cell r="K25">
            <v>0</v>
          </cell>
          <cell r="L25">
            <v>2834434.17</v>
          </cell>
          <cell r="M25">
            <v>1018193.05</v>
          </cell>
          <cell r="N25">
            <v>1323412.13</v>
          </cell>
          <cell r="O25">
            <v>1403515.82</v>
          </cell>
          <cell r="P25">
            <v>1380144.66</v>
          </cell>
          <cell r="Q25">
            <v>831400.59</v>
          </cell>
          <cell r="R25">
            <v>0</v>
          </cell>
          <cell r="S25">
            <v>56408.21</v>
          </cell>
          <cell r="T25">
            <v>2560.13</v>
          </cell>
          <cell r="U25">
            <v>289291.54</v>
          </cell>
          <cell r="V25">
            <v>289291.54</v>
          </cell>
          <cell r="W25">
            <v>297434.98</v>
          </cell>
          <cell r="X25">
            <v>585470.85</v>
          </cell>
          <cell r="Y25">
            <v>1125992.78</v>
          </cell>
        </row>
        <row r="26">
          <cell r="A26" t="str">
            <v>RO</v>
          </cell>
          <cell r="B26">
            <v>1242378.41</v>
          </cell>
          <cell r="C26">
            <v>0</v>
          </cell>
          <cell r="D26">
            <v>846642.24</v>
          </cell>
          <cell r="E26">
            <v>1900</v>
          </cell>
          <cell r="F26">
            <v>1463396.24</v>
          </cell>
          <cell r="G26">
            <v>1008843.94</v>
          </cell>
          <cell r="H26">
            <v>1422708.22</v>
          </cell>
          <cell r="I26">
            <v>301353.79</v>
          </cell>
          <cell r="J26">
            <v>94551.72</v>
          </cell>
          <cell r="K26">
            <v>0</v>
          </cell>
          <cell r="L26">
            <v>1629510.29</v>
          </cell>
          <cell r="M26">
            <v>918275.65</v>
          </cell>
          <cell r="N26">
            <v>1301979.61</v>
          </cell>
          <cell r="O26">
            <v>1077197.16</v>
          </cell>
          <cell r="P26">
            <v>1151893.01</v>
          </cell>
          <cell r="Q26">
            <v>531767.51</v>
          </cell>
          <cell r="R26">
            <v>660.52</v>
          </cell>
          <cell r="S26">
            <v>0</v>
          </cell>
          <cell r="T26">
            <v>0</v>
          </cell>
          <cell r="U26">
            <v>393836.17</v>
          </cell>
          <cell r="V26">
            <v>394496.69</v>
          </cell>
          <cell r="W26">
            <v>395736.17</v>
          </cell>
          <cell r="X26">
            <v>454552.3</v>
          </cell>
          <cell r="Y26">
            <v>1207427.89</v>
          </cell>
        </row>
        <row r="27">
          <cell r="A27" t="str">
            <v>RR</v>
          </cell>
          <cell r="B27">
            <v>858801.16</v>
          </cell>
          <cell r="C27">
            <v>0</v>
          </cell>
          <cell r="D27">
            <v>824621.06</v>
          </cell>
          <cell r="E27">
            <v>8800</v>
          </cell>
          <cell r="F27">
            <v>911143.59</v>
          </cell>
          <cell r="G27">
            <v>830923.37</v>
          </cell>
          <cell r="H27">
            <v>401286.5</v>
          </cell>
          <cell r="I27">
            <v>49006.64</v>
          </cell>
          <cell r="J27">
            <v>70234.35</v>
          </cell>
          <cell r="K27">
            <v>0</v>
          </cell>
          <cell r="L27">
            <v>380058.79</v>
          </cell>
          <cell r="M27">
            <v>281022.99</v>
          </cell>
          <cell r="N27">
            <v>315564.22</v>
          </cell>
          <cell r="O27">
            <v>1036779.4</v>
          </cell>
          <cell r="P27">
            <v>1036779.4</v>
          </cell>
          <cell r="Q27">
            <v>531060.8</v>
          </cell>
          <cell r="R27">
            <v>46758.89</v>
          </cell>
          <cell r="S27">
            <v>0</v>
          </cell>
          <cell r="T27">
            <v>0</v>
          </cell>
          <cell r="U27">
            <v>25380.1</v>
          </cell>
          <cell r="V27">
            <v>72138.99</v>
          </cell>
          <cell r="W27">
            <v>34180.1</v>
          </cell>
          <cell r="X27">
            <v>80220.22</v>
          </cell>
          <cell r="Y27">
            <v>245329.87</v>
          </cell>
        </row>
        <row r="28">
          <cell r="A28" t="str">
            <v>RS</v>
          </cell>
          <cell r="B28">
            <v>13407244.95</v>
          </cell>
          <cell r="C28">
            <v>0</v>
          </cell>
          <cell r="D28">
            <v>12064206.93</v>
          </cell>
          <cell r="E28">
            <v>137888.46</v>
          </cell>
          <cell r="F28">
            <v>15281360.35</v>
          </cell>
          <cell r="G28">
            <v>15047915.88</v>
          </cell>
          <cell r="H28">
            <v>23462217.46</v>
          </cell>
          <cell r="I28">
            <v>6154102.6</v>
          </cell>
          <cell r="J28">
            <v>1627390.73</v>
          </cell>
          <cell r="K28">
            <v>65444.77</v>
          </cell>
          <cell r="L28">
            <v>27923484.56</v>
          </cell>
          <cell r="M28">
            <v>19270935.75</v>
          </cell>
          <cell r="N28">
            <v>20414293.493</v>
          </cell>
          <cell r="O28">
            <v>11746175.55</v>
          </cell>
          <cell r="P28">
            <v>13731728.55</v>
          </cell>
          <cell r="Q28">
            <v>7099682.5</v>
          </cell>
          <cell r="R28">
            <v>0</v>
          </cell>
          <cell r="S28">
            <v>178863.85</v>
          </cell>
          <cell r="T28">
            <v>720</v>
          </cell>
          <cell r="U28">
            <v>1205149.56</v>
          </cell>
          <cell r="V28">
            <v>1205149.56</v>
          </cell>
          <cell r="W28">
            <v>1343038.02</v>
          </cell>
          <cell r="X28">
            <v>233444.469999999</v>
          </cell>
          <cell r="Y28">
            <v>18607318.913</v>
          </cell>
        </row>
        <row r="29">
          <cell r="A29" t="str">
            <v>SC</v>
          </cell>
          <cell r="B29">
            <v>8299894.47</v>
          </cell>
          <cell r="C29">
            <v>0</v>
          </cell>
          <cell r="D29">
            <v>6450602.82</v>
          </cell>
          <cell r="E29">
            <v>75668.93</v>
          </cell>
          <cell r="F29">
            <v>9603263.03</v>
          </cell>
          <cell r="G29">
            <v>7454324.69</v>
          </cell>
          <cell r="H29">
            <v>11761116.57</v>
          </cell>
          <cell r="I29">
            <v>384488.69</v>
          </cell>
          <cell r="J29">
            <v>550086.86</v>
          </cell>
          <cell r="K29">
            <v>3549.04</v>
          </cell>
          <cell r="L29">
            <v>11591969.36</v>
          </cell>
          <cell r="M29">
            <v>8042080.93</v>
          </cell>
          <cell r="N29">
            <v>9383465.48</v>
          </cell>
          <cell r="O29">
            <v>7666697.22</v>
          </cell>
          <cell r="P29">
            <v>7602891.45</v>
          </cell>
          <cell r="Q29">
            <v>4180962.19</v>
          </cell>
          <cell r="R29">
            <v>0</v>
          </cell>
          <cell r="S29">
            <v>133721.14</v>
          </cell>
          <cell r="T29">
            <v>7119</v>
          </cell>
          <cell r="U29">
            <v>1773622.72</v>
          </cell>
          <cell r="V29">
            <v>1773622.72</v>
          </cell>
          <cell r="W29">
            <v>1849291.65</v>
          </cell>
          <cell r="X29">
            <v>2148938.34</v>
          </cell>
          <cell r="Y29">
            <v>8692538.48</v>
          </cell>
        </row>
        <row r="30">
          <cell r="A30" t="str">
            <v>SE</v>
          </cell>
          <cell r="B30">
            <v>1160030.76</v>
          </cell>
          <cell r="C30">
            <v>0</v>
          </cell>
          <cell r="D30">
            <v>932841.53</v>
          </cell>
          <cell r="E30">
            <v>0</v>
          </cell>
          <cell r="F30">
            <v>1283829.73</v>
          </cell>
          <cell r="G30">
            <v>1015731.92</v>
          </cell>
          <cell r="H30">
            <v>1251466.07</v>
          </cell>
          <cell r="I30">
            <v>56335.04</v>
          </cell>
          <cell r="J30">
            <v>77361.62</v>
          </cell>
          <cell r="K30">
            <v>0</v>
          </cell>
          <cell r="L30">
            <v>1230439.49</v>
          </cell>
          <cell r="M30">
            <v>642120.63</v>
          </cell>
          <cell r="N30">
            <v>855918.17</v>
          </cell>
          <cell r="O30">
            <v>875713.67</v>
          </cell>
          <cell r="P30">
            <v>950591.9</v>
          </cell>
          <cell r="Q30">
            <v>599729.43</v>
          </cell>
          <cell r="R30">
            <v>2126.87</v>
          </cell>
          <cell r="S30">
            <v>0</v>
          </cell>
          <cell r="T30">
            <v>0</v>
          </cell>
          <cell r="U30">
            <v>227189.23</v>
          </cell>
          <cell r="V30">
            <v>229316.1</v>
          </cell>
          <cell r="W30">
            <v>227189.23</v>
          </cell>
          <cell r="X30">
            <v>268097.81</v>
          </cell>
          <cell r="Y30">
            <v>778556.55</v>
          </cell>
        </row>
        <row r="31">
          <cell r="A31" t="str">
            <v>SP</v>
          </cell>
          <cell r="B31">
            <v>47047479.23</v>
          </cell>
          <cell r="C31">
            <v>0</v>
          </cell>
          <cell r="D31">
            <v>33607488.43</v>
          </cell>
          <cell r="E31">
            <v>991855.95</v>
          </cell>
          <cell r="F31">
            <v>52820102.48</v>
          </cell>
          <cell r="G31">
            <v>41670623.32</v>
          </cell>
          <cell r="H31">
            <v>57578483.62</v>
          </cell>
          <cell r="I31">
            <v>42079472.01</v>
          </cell>
          <cell r="J31">
            <v>3930734.12</v>
          </cell>
          <cell r="K31">
            <v>795366</v>
          </cell>
          <cell r="L31">
            <v>94931855.51</v>
          </cell>
          <cell r="M31">
            <v>32993124.21</v>
          </cell>
          <cell r="N31">
            <v>42699542.17</v>
          </cell>
          <cell r="O31">
            <v>40072219</v>
          </cell>
          <cell r="P31">
            <v>46171987.65</v>
          </cell>
          <cell r="Q31">
            <v>17665082.03</v>
          </cell>
          <cell r="R31">
            <v>0</v>
          </cell>
          <cell r="S31">
            <v>0</v>
          </cell>
          <cell r="T31">
            <v>0</v>
          </cell>
          <cell r="U31">
            <v>12448134.85</v>
          </cell>
          <cell r="V31">
            <v>12448134.85</v>
          </cell>
          <cell r="W31">
            <v>13439990.8</v>
          </cell>
          <cell r="X31">
            <v>11149479.16</v>
          </cell>
          <cell r="Y31">
            <v>38768808.05</v>
          </cell>
        </row>
        <row r="32">
          <cell r="A32" t="str">
            <v>TO</v>
          </cell>
          <cell r="B32">
            <v>1035888.75</v>
          </cell>
          <cell r="C32">
            <v>0</v>
          </cell>
          <cell r="D32">
            <v>929466.22</v>
          </cell>
          <cell r="E32">
            <v>7102.48</v>
          </cell>
          <cell r="F32">
            <v>1145130.82</v>
          </cell>
          <cell r="G32">
            <v>955427.64</v>
          </cell>
          <cell r="H32">
            <v>1209869.93</v>
          </cell>
          <cell r="I32">
            <v>404904.9</v>
          </cell>
          <cell r="J32">
            <v>83470.73</v>
          </cell>
          <cell r="K32">
            <v>0</v>
          </cell>
          <cell r="L32">
            <v>1531304.1</v>
          </cell>
          <cell r="M32">
            <v>844913.31</v>
          </cell>
          <cell r="N32">
            <v>947560.52</v>
          </cell>
          <cell r="O32">
            <v>1036653.31</v>
          </cell>
          <cell r="P32">
            <v>1036653.31</v>
          </cell>
          <cell r="Q32">
            <v>629052.67</v>
          </cell>
          <cell r="R32">
            <v>31566.85</v>
          </cell>
          <cell r="S32">
            <v>214.54</v>
          </cell>
          <cell r="T32">
            <v>0</v>
          </cell>
          <cell r="U32">
            <v>99320.0500000001</v>
          </cell>
          <cell r="V32">
            <v>130886.9</v>
          </cell>
          <cell r="W32">
            <v>106422.53</v>
          </cell>
          <cell r="X32">
            <v>189703.18</v>
          </cell>
          <cell r="Y32">
            <v>863875.25</v>
          </cell>
        </row>
      </sheetData>
      <sheetData sheetId="1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4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5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6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A1:U6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90" workbookViewId="0">
      <selection pane="topLeft" activeCell="L5" activeCellId="0" sqref="L5"/>
    </sheetView>
  </sheetViews>
  <sheetFormatPr defaultColWidth="9.19140625" defaultRowHeight="15.5" zeroHeight="true" outlineLevelRow="0" outlineLevelCol="0"/>
  <cols>
    <col collapsed="false" customWidth="false" hidden="false" outlineLevel="0" max="11" min="1" style="1" width="9.18"/>
    <col collapsed="false" customWidth="true" hidden="true" outlineLevel="0" max="21" min="16" style="0" width="11.52"/>
    <col collapsed="false" customWidth="false" hidden="true" outlineLevel="0" max="1024" min="22" style="0" width="9.18"/>
  </cols>
  <sheetData>
    <row r="1" s="4" customFormat="true" ht="51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customFormat="false" ht="15.5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customFormat="false" ht="379.5" hidden="false" customHeight="true" outlineLevel="0" collapsed="false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/>
      <c r="N3" s="8"/>
      <c r="O3" s="8"/>
      <c r="P3" s="8"/>
      <c r="Q3" s="8"/>
      <c r="R3" s="8"/>
      <c r="S3" s="8"/>
      <c r="T3" s="8"/>
      <c r="U3" s="8"/>
    </row>
    <row r="4" customFormat="false" ht="160.5" hidden="false" customHeight="true" outlineLevel="0" collapsed="false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7"/>
      <c r="M4" s="8"/>
      <c r="N4" s="8"/>
      <c r="O4" s="8"/>
      <c r="P4" s="8"/>
      <c r="Q4" s="8"/>
      <c r="R4" s="8"/>
      <c r="S4" s="8"/>
      <c r="T4" s="8"/>
      <c r="U4" s="8"/>
    </row>
    <row r="5" customFormat="false" ht="66" hidden="false" customHeight="true" outlineLevel="0" collapsed="false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10"/>
      <c r="M5" s="10"/>
      <c r="N5" s="10"/>
      <c r="O5" s="10"/>
      <c r="P5" s="10"/>
    </row>
    <row r="6" customFormat="false" ht="300" hidden="false" customHeight="true" outlineLevel="0" collapsed="false"/>
  </sheetData>
  <mergeCells count="4">
    <mergeCell ref="A1:K1"/>
    <mergeCell ref="A2:K2"/>
    <mergeCell ref="A3:K3"/>
    <mergeCell ref="A5:K5"/>
  </mergeCells>
  <printOptions headings="false" gridLines="false" gridLinesSet="true" horizontalCentered="tru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R127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A108" activeCellId="0" sqref="A108"/>
    </sheetView>
  </sheetViews>
  <sheetFormatPr defaultColWidth="9.19140625" defaultRowHeight="23.25" zeroHeight="true" outlineLevelRow="0" outlineLevelCol="0"/>
  <cols>
    <col collapsed="false" customWidth="true" hidden="false" outlineLevel="0" max="1" min="1" style="11" width="74.72"/>
    <col collapsed="false" customWidth="true" hidden="false" outlineLevel="0" max="2" min="2" style="12" width="81.01"/>
    <col collapsed="false" customWidth="true" hidden="false" outlineLevel="0" max="3" min="3" style="13" width="11.54"/>
    <col collapsed="false" customWidth="true" hidden="false" outlineLevel="0" max="4" min="4" style="12" width="16.45"/>
    <col collapsed="false" customWidth="true" hidden="false" outlineLevel="0" max="5" min="5" style="12" width="17"/>
    <col collapsed="false" customWidth="true" hidden="false" outlineLevel="0" max="6" min="6" style="14" width="17"/>
    <col collapsed="false" customWidth="true" hidden="true" outlineLevel="0" max="8" min="7" style="15" width="17"/>
    <col collapsed="false" customWidth="false" hidden="false" outlineLevel="0" max="1024" min="9" style="16" width="9.18"/>
  </cols>
  <sheetData>
    <row r="1" s="19" customFormat="true" ht="48" hidden="false" customHeight="true" outlineLevel="0" collapsed="false">
      <c r="A1" s="17" t="s">
        <v>3</v>
      </c>
      <c r="B1" s="17"/>
      <c r="C1" s="17"/>
      <c r="D1" s="17"/>
      <c r="E1" s="17"/>
      <c r="F1" s="17"/>
      <c r="G1" s="18"/>
      <c r="H1" s="18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="19" customFormat="true" ht="45" hidden="false" customHeight="true" outlineLevel="0" collapsed="false">
      <c r="A2" s="20" t="s">
        <v>4</v>
      </c>
      <c r="B2" s="20"/>
      <c r="C2" s="20"/>
      <c r="D2" s="20"/>
      <c r="E2" s="20"/>
      <c r="F2" s="20"/>
      <c r="G2" s="15"/>
      <c r="H2" s="15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="19" customFormat="true" ht="45" hidden="false" customHeight="true" outlineLevel="0" collapsed="false">
      <c r="A3" s="21" t="s">
        <v>5</v>
      </c>
      <c r="B3" s="21"/>
      <c r="C3" s="21"/>
      <c r="D3" s="21"/>
      <c r="E3" s="21"/>
      <c r="F3" s="21"/>
    </row>
    <row r="4" s="19" customFormat="true" ht="9.75" hidden="false" customHeight="true" outlineLevel="0" collapsed="false">
      <c r="A4" s="22"/>
      <c r="B4" s="22"/>
      <c r="C4" s="22"/>
      <c r="D4" s="22"/>
      <c r="E4" s="22"/>
      <c r="F4" s="23"/>
      <c r="G4" s="15"/>
      <c r="H4" s="15"/>
    </row>
    <row r="5" s="19" customFormat="true" ht="27" hidden="false" customHeight="true" outlineLevel="0" collapsed="false">
      <c r="A5" s="24" t="s">
        <v>6</v>
      </c>
      <c r="B5" s="25" t="s">
        <v>7</v>
      </c>
      <c r="C5" s="25"/>
      <c r="D5" s="25"/>
      <c r="E5" s="25"/>
      <c r="F5" s="25"/>
      <c r="G5" s="15"/>
      <c r="H5" s="15"/>
    </row>
    <row r="6" s="19" customFormat="true" ht="39" hidden="false" customHeight="true" outlineLevel="0" collapsed="false">
      <c r="A6" s="26" t="s">
        <v>8</v>
      </c>
      <c r="B6" s="26"/>
      <c r="C6" s="26"/>
      <c r="D6" s="26"/>
      <c r="E6" s="26"/>
      <c r="F6" s="26"/>
      <c r="G6" s="27"/>
      <c r="H6" s="27"/>
    </row>
    <row r="7" s="19" customFormat="true" ht="45" hidden="false" customHeight="true" outlineLevel="0" collapsed="false">
      <c r="A7" s="28" t="s">
        <v>9</v>
      </c>
      <c r="B7" s="29" t="s">
        <v>10</v>
      </c>
      <c r="C7" s="29"/>
      <c r="D7" s="29" t="s">
        <v>11</v>
      </c>
      <c r="E7" s="30" t="s">
        <v>12</v>
      </c>
      <c r="F7" s="31" t="s">
        <v>13</v>
      </c>
      <c r="G7" s="27"/>
      <c r="H7" s="27"/>
    </row>
    <row r="8" s="19" customFormat="true" ht="30.75" hidden="false" customHeight="true" outlineLevel="0" collapsed="false">
      <c r="A8" s="32" t="s">
        <v>14</v>
      </c>
      <c r="B8" s="33" t="s">
        <v>15</v>
      </c>
      <c r="C8" s="34" t="s">
        <v>16</v>
      </c>
      <c r="D8" s="35" t="s">
        <v>17</v>
      </c>
      <c r="E8" s="36" t="s">
        <v>18</v>
      </c>
      <c r="F8" s="36" t="s">
        <v>18</v>
      </c>
      <c r="G8" s="37"/>
      <c r="H8" s="38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="19" customFormat="true" ht="30.75" hidden="false" customHeight="true" outlineLevel="0" collapsed="false">
      <c r="A9" s="32"/>
      <c r="B9" s="39" t="s">
        <v>19</v>
      </c>
      <c r="C9" s="34"/>
      <c r="D9" s="35"/>
      <c r="E9" s="36"/>
      <c r="F9" s="36"/>
      <c r="G9" s="37"/>
      <c r="H9" s="38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="19" customFormat="true" ht="6.75" hidden="false" customHeight="true" outlineLevel="0" collapsed="false">
      <c r="A10" s="40"/>
      <c r="B10" s="41"/>
      <c r="C10" s="41"/>
      <c r="D10" s="41"/>
      <c r="E10" s="41"/>
      <c r="F10" s="42"/>
      <c r="G10" s="27"/>
      <c r="H10" s="27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="19" customFormat="true" ht="45" hidden="false" customHeight="true" outlineLevel="0" collapsed="false">
      <c r="A11" s="43" t="s">
        <v>20</v>
      </c>
      <c r="B11" s="43"/>
      <c r="C11" s="43"/>
      <c r="D11" s="43"/>
      <c r="E11" s="43"/>
      <c r="F11" s="43"/>
      <c r="G11" s="27"/>
      <c r="H11" s="27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="19" customFormat="true" ht="45" hidden="false" customHeight="true" outlineLevel="0" collapsed="false">
      <c r="A12" s="43" t="s">
        <v>21</v>
      </c>
      <c r="B12" s="44" t="s">
        <v>10</v>
      </c>
      <c r="C12" s="44"/>
      <c r="D12" s="44" t="s">
        <v>11</v>
      </c>
      <c r="E12" s="44" t="s">
        <v>12</v>
      </c>
      <c r="F12" s="44" t="s">
        <v>13</v>
      </c>
      <c r="G12" s="27"/>
      <c r="H12" s="27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="19" customFormat="true" ht="34.5" hidden="false" customHeight="true" outlineLevel="0" collapsed="false">
      <c r="A13" s="45" t="s">
        <v>22</v>
      </c>
      <c r="B13" s="46" t="s">
        <v>23</v>
      </c>
      <c r="C13" s="34" t="s">
        <v>16</v>
      </c>
      <c r="D13" s="35" t="s">
        <v>24</v>
      </c>
      <c r="E13" s="36" t="n">
        <v>1</v>
      </c>
      <c r="F13" s="47" t="n">
        <v>1</v>
      </c>
      <c r="G13" s="38"/>
      <c r="H13" s="38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="19" customFormat="true" ht="27.75" hidden="false" customHeight="true" outlineLevel="0" collapsed="false">
      <c r="A14" s="45"/>
      <c r="B14" s="48" t="s">
        <v>25</v>
      </c>
      <c r="C14" s="34"/>
      <c r="D14" s="35"/>
      <c r="E14" s="36"/>
      <c r="F14" s="47"/>
      <c r="G14" s="38"/>
      <c r="H14" s="38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="19" customFormat="true" ht="34.5" hidden="false" customHeight="true" outlineLevel="0" collapsed="false">
      <c r="A15" s="45" t="s">
        <v>26</v>
      </c>
      <c r="B15" s="46" t="s">
        <v>27</v>
      </c>
      <c r="C15" s="34" t="s">
        <v>16</v>
      </c>
      <c r="D15" s="35" t="s">
        <v>24</v>
      </c>
      <c r="E15" s="36" t="s">
        <v>28</v>
      </c>
      <c r="F15" s="36" t="n">
        <f aca="false">745/854</f>
        <v>0.872365339578454</v>
      </c>
      <c r="G15" s="38"/>
      <c r="H15" s="38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="19" customFormat="true" ht="24.75" hidden="false" customHeight="true" outlineLevel="0" collapsed="false">
      <c r="A16" s="45"/>
      <c r="B16" s="48" t="s">
        <v>29</v>
      </c>
      <c r="C16" s="34"/>
      <c r="D16" s="35"/>
      <c r="E16" s="36"/>
      <c r="F16" s="36"/>
      <c r="G16" s="38"/>
      <c r="H16" s="38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="19" customFormat="true" ht="34.5" hidden="false" customHeight="true" outlineLevel="0" collapsed="false">
      <c r="A17" s="45" t="s">
        <v>30</v>
      </c>
      <c r="B17" s="49" t="s">
        <v>31</v>
      </c>
      <c r="C17" s="49"/>
      <c r="D17" s="35" t="s">
        <v>24</v>
      </c>
      <c r="E17" s="50" t="n">
        <f aca="false">(78904/12)/14079</f>
        <v>0.467031275895542</v>
      </c>
      <c r="F17" s="51" t="n">
        <f aca="false">(74309/12)/14181</f>
        <v>0.436669957454811</v>
      </c>
      <c r="G17" s="52"/>
      <c r="H17" s="52" t="e">
        <f aca="false">'[3]Diretrizes - Resumo'!AK24/12/'[3]Diretrizes - Resumo'!AK20</f>
        <v>#N/A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="19" customFormat="true" ht="22.5" hidden="false" customHeight="true" outlineLevel="0" collapsed="false">
      <c r="A18" s="45"/>
      <c r="B18" s="53" t="s">
        <v>32</v>
      </c>
      <c r="C18" s="53"/>
      <c r="D18" s="35"/>
      <c r="E18" s="50"/>
      <c r="F18" s="51"/>
      <c r="G18" s="52"/>
      <c r="H18" s="52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="19" customFormat="true" ht="34.5" hidden="false" customHeight="true" outlineLevel="0" collapsed="false">
      <c r="A19" s="45" t="s">
        <v>33</v>
      </c>
      <c r="B19" s="46" t="s">
        <v>34</v>
      </c>
      <c r="C19" s="34" t="s">
        <v>16</v>
      </c>
      <c r="D19" s="35" t="s">
        <v>24</v>
      </c>
      <c r="E19" s="36" t="n">
        <v>0.9</v>
      </c>
      <c r="F19" s="54" t="n">
        <f aca="false">224/224</f>
        <v>1</v>
      </c>
      <c r="G19" s="38"/>
      <c r="H19" s="38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="19" customFormat="true" ht="34.5" hidden="false" customHeight="true" outlineLevel="0" collapsed="false">
      <c r="A20" s="45"/>
      <c r="B20" s="48" t="s">
        <v>35</v>
      </c>
      <c r="C20" s="34"/>
      <c r="D20" s="35"/>
      <c r="E20" s="36"/>
      <c r="F20" s="54"/>
      <c r="G20" s="38"/>
      <c r="H20" s="38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="19" customFormat="true" ht="34.5" hidden="false" customHeight="true" outlineLevel="0" collapsed="false">
      <c r="A21" s="45" t="s">
        <v>36</v>
      </c>
      <c r="B21" s="46" t="s">
        <v>37</v>
      </c>
      <c r="C21" s="34" t="s">
        <v>16</v>
      </c>
      <c r="D21" s="35" t="s">
        <v>38</v>
      </c>
      <c r="E21" s="36" t="n">
        <v>0.8</v>
      </c>
      <c r="F21" s="47" t="n">
        <f aca="false">372/854</f>
        <v>0.43559718969555</v>
      </c>
      <c r="G21" s="38"/>
      <c r="H21" s="38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="19" customFormat="true" ht="34.5" hidden="false" customHeight="true" outlineLevel="0" collapsed="false">
      <c r="A22" s="45"/>
      <c r="B22" s="48" t="s">
        <v>39</v>
      </c>
      <c r="C22" s="34"/>
      <c r="D22" s="35"/>
      <c r="E22" s="36"/>
      <c r="F22" s="47"/>
      <c r="G22" s="38"/>
      <c r="H22" s="38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="19" customFormat="true" ht="34.5" hidden="false" customHeight="true" outlineLevel="0" collapsed="false">
      <c r="A23" s="45" t="s">
        <v>40</v>
      </c>
      <c r="B23" s="46" t="s">
        <v>41</v>
      </c>
      <c r="C23" s="34" t="s">
        <v>16</v>
      </c>
      <c r="D23" s="35" t="s">
        <v>38</v>
      </c>
      <c r="E23" s="36" t="n">
        <v>1</v>
      </c>
      <c r="F23" s="47" t="n">
        <v>1</v>
      </c>
      <c r="G23" s="38"/>
      <c r="H23" s="38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="19" customFormat="true" ht="34.5" hidden="false" customHeight="true" outlineLevel="0" collapsed="false">
      <c r="A24" s="45"/>
      <c r="B24" s="48" t="s">
        <v>42</v>
      </c>
      <c r="C24" s="34"/>
      <c r="D24" s="35"/>
      <c r="E24" s="36"/>
      <c r="F24" s="47"/>
      <c r="G24" s="38"/>
      <c r="H24" s="38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="19" customFormat="true" ht="34.5" hidden="false" customHeight="true" outlineLevel="0" collapsed="false">
      <c r="A25" s="45" t="s">
        <v>43</v>
      </c>
      <c r="B25" s="46" t="s">
        <v>44</v>
      </c>
      <c r="C25" s="34" t="s">
        <v>16</v>
      </c>
      <c r="D25" s="35" t="s">
        <v>45</v>
      </c>
      <c r="E25" s="36" t="s">
        <v>28</v>
      </c>
      <c r="F25" s="36" t="n">
        <f aca="false">1078/1400</f>
        <v>0.77</v>
      </c>
      <c r="G25" s="38"/>
      <c r="H25" s="38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="19" customFormat="true" ht="34.5" hidden="false" customHeight="true" outlineLevel="0" collapsed="false">
      <c r="A26" s="45"/>
      <c r="B26" s="48" t="s">
        <v>46</v>
      </c>
      <c r="C26" s="34"/>
      <c r="D26" s="35"/>
      <c r="E26" s="36"/>
      <c r="F26" s="36"/>
      <c r="G26" s="38"/>
      <c r="H26" s="38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="19" customFormat="true" ht="34.5" hidden="false" customHeight="true" outlineLevel="0" collapsed="false">
      <c r="A27" s="45" t="s">
        <v>47</v>
      </c>
      <c r="B27" s="46" t="s">
        <v>48</v>
      </c>
      <c r="C27" s="34" t="s">
        <v>16</v>
      </c>
      <c r="D27" s="35" t="s">
        <v>45</v>
      </c>
      <c r="E27" s="36" t="s">
        <v>28</v>
      </c>
      <c r="F27" s="36" t="s">
        <v>28</v>
      </c>
      <c r="G27" s="38"/>
      <c r="H27" s="38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="19" customFormat="true" ht="34.5" hidden="false" customHeight="true" outlineLevel="0" collapsed="false">
      <c r="A28" s="45"/>
      <c r="B28" s="48" t="s">
        <v>27</v>
      </c>
      <c r="C28" s="34"/>
      <c r="D28" s="35"/>
      <c r="E28" s="36"/>
      <c r="F28" s="36"/>
      <c r="G28" s="38"/>
      <c r="H28" s="38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="19" customFormat="true" ht="34.5" hidden="false" customHeight="true" outlineLevel="0" collapsed="false">
      <c r="A29" s="45" t="s">
        <v>49</v>
      </c>
      <c r="B29" s="46" t="s">
        <v>50</v>
      </c>
      <c r="C29" s="34" t="s">
        <v>16</v>
      </c>
      <c r="D29" s="35" t="s">
        <v>45</v>
      </c>
      <c r="E29" s="36" t="s">
        <v>28</v>
      </c>
      <c r="F29" s="36" t="s">
        <v>28</v>
      </c>
      <c r="G29" s="38"/>
      <c r="H29" s="38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="19" customFormat="true" ht="34.5" hidden="false" customHeight="true" outlineLevel="0" collapsed="false">
      <c r="A30" s="45"/>
      <c r="B30" s="48" t="s">
        <v>29</v>
      </c>
      <c r="C30" s="34"/>
      <c r="D30" s="35"/>
      <c r="E30" s="36"/>
      <c r="F30" s="36"/>
      <c r="G30" s="38"/>
      <c r="H30" s="38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="19" customFormat="true" ht="34.5" hidden="false" customHeight="true" outlineLevel="0" collapsed="false">
      <c r="A31" s="45" t="s">
        <v>51</v>
      </c>
      <c r="B31" s="46" t="s">
        <v>52</v>
      </c>
      <c r="C31" s="34" t="s">
        <v>16</v>
      </c>
      <c r="D31" s="35" t="s">
        <v>45</v>
      </c>
      <c r="E31" s="36" t="s">
        <v>28</v>
      </c>
      <c r="F31" s="36" t="s">
        <v>28</v>
      </c>
      <c r="G31" s="38"/>
      <c r="H31" s="38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="19" customFormat="true" ht="34.5" hidden="false" customHeight="true" outlineLevel="0" collapsed="false">
      <c r="A32" s="45"/>
      <c r="B32" s="48" t="s">
        <v>53</v>
      </c>
      <c r="C32" s="34"/>
      <c r="D32" s="35"/>
      <c r="E32" s="36"/>
      <c r="F32" s="36"/>
      <c r="G32" s="38"/>
      <c r="H32" s="38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="19" customFormat="true" ht="45" hidden="false" customHeight="true" outlineLevel="0" collapsed="false">
      <c r="A33" s="43" t="s">
        <v>54</v>
      </c>
      <c r="B33" s="44" t="s">
        <v>10</v>
      </c>
      <c r="C33" s="44"/>
      <c r="D33" s="44" t="s">
        <v>11</v>
      </c>
      <c r="E33" s="44" t="s">
        <v>12</v>
      </c>
      <c r="F33" s="44" t="s">
        <v>13</v>
      </c>
      <c r="G33" s="55"/>
      <c r="H33" s="55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="19" customFormat="true" ht="34.5" hidden="false" customHeight="true" outlineLevel="0" collapsed="false">
      <c r="A34" s="45" t="s">
        <v>55</v>
      </c>
      <c r="B34" s="46" t="s">
        <v>56</v>
      </c>
      <c r="C34" s="34" t="s">
        <v>16</v>
      </c>
      <c r="D34" s="35" t="s">
        <v>57</v>
      </c>
      <c r="E34" s="36" t="n">
        <v>0.863</v>
      </c>
      <c r="F34" s="47" t="n">
        <v>0.9</v>
      </c>
      <c r="G34" s="38"/>
      <c r="H34" s="38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="19" customFormat="true" ht="34.5" hidden="false" customHeight="true" outlineLevel="0" collapsed="false">
      <c r="A35" s="45"/>
      <c r="B35" s="48" t="s">
        <v>58</v>
      </c>
      <c r="C35" s="34"/>
      <c r="D35" s="35"/>
      <c r="E35" s="36"/>
      <c r="F35" s="47"/>
      <c r="G35" s="38"/>
      <c r="H35" s="38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="19" customFormat="true" ht="34.5" hidden="false" customHeight="true" outlineLevel="0" collapsed="false">
      <c r="A36" s="45" t="s">
        <v>59</v>
      </c>
      <c r="B36" s="46" t="s">
        <v>60</v>
      </c>
      <c r="C36" s="34" t="s">
        <v>16</v>
      </c>
      <c r="D36" s="35" t="s">
        <v>57</v>
      </c>
      <c r="E36" s="36" t="n">
        <v>0.643</v>
      </c>
      <c r="F36" s="47" t="n">
        <v>0.7</v>
      </c>
      <c r="G36" s="38"/>
      <c r="H36" s="38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="19" customFormat="true" ht="34.5" hidden="false" customHeight="true" outlineLevel="0" collapsed="false">
      <c r="A37" s="45"/>
      <c r="B37" s="48" t="s">
        <v>61</v>
      </c>
      <c r="C37" s="34"/>
      <c r="D37" s="35"/>
      <c r="E37" s="36"/>
      <c r="F37" s="47"/>
      <c r="G37" s="38"/>
      <c r="H37" s="38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="19" customFormat="true" ht="34.5" hidden="false" customHeight="true" outlineLevel="0" collapsed="false">
      <c r="A38" s="45" t="s">
        <v>62</v>
      </c>
      <c r="B38" s="46" t="s">
        <v>63</v>
      </c>
      <c r="C38" s="34" t="s">
        <v>16</v>
      </c>
      <c r="D38" s="35" t="s">
        <v>57</v>
      </c>
      <c r="E38" s="36" t="n">
        <v>1</v>
      </c>
      <c r="F38" s="47" t="n">
        <v>1</v>
      </c>
      <c r="G38" s="38"/>
      <c r="H38" s="38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="19" customFormat="true" ht="34.5" hidden="false" customHeight="true" outlineLevel="0" collapsed="false">
      <c r="A39" s="45"/>
      <c r="B39" s="48" t="s">
        <v>64</v>
      </c>
      <c r="C39" s="34"/>
      <c r="D39" s="35"/>
      <c r="E39" s="36"/>
      <c r="F39" s="47"/>
      <c r="G39" s="38"/>
      <c r="H39" s="38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="19" customFormat="true" ht="45" hidden="false" customHeight="true" outlineLevel="0" collapsed="false">
      <c r="A40" s="43" t="s">
        <v>65</v>
      </c>
      <c r="B40" s="44" t="s">
        <v>10</v>
      </c>
      <c r="C40" s="44"/>
      <c r="D40" s="44" t="s">
        <v>11</v>
      </c>
      <c r="E40" s="44" t="s">
        <v>12</v>
      </c>
      <c r="F40" s="44" t="s">
        <v>13</v>
      </c>
      <c r="G40" s="55"/>
      <c r="H40" s="55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="19" customFormat="true" ht="34.5" hidden="false" customHeight="true" outlineLevel="0" collapsed="false">
      <c r="A41" s="56" t="s">
        <v>66</v>
      </c>
      <c r="B41" s="57" t="s">
        <v>67</v>
      </c>
      <c r="C41" s="34" t="s">
        <v>16</v>
      </c>
      <c r="D41" s="58" t="s">
        <v>68</v>
      </c>
      <c r="E41" s="36" t="n">
        <v>1</v>
      </c>
      <c r="F41" s="47" t="n">
        <v>1</v>
      </c>
      <c r="G41" s="38"/>
      <c r="H41" s="38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="19" customFormat="true" ht="34.5" hidden="false" customHeight="true" outlineLevel="0" collapsed="false">
      <c r="A42" s="56"/>
      <c r="B42" s="59" t="s">
        <v>69</v>
      </c>
      <c r="C42" s="34"/>
      <c r="D42" s="58"/>
      <c r="E42" s="36"/>
      <c r="F42" s="47"/>
      <c r="G42" s="38"/>
      <c r="H42" s="38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="19" customFormat="true" ht="34.5" hidden="false" customHeight="true" outlineLevel="0" collapsed="false">
      <c r="A43" s="56" t="s">
        <v>70</v>
      </c>
      <c r="B43" s="57" t="s">
        <v>71</v>
      </c>
      <c r="C43" s="34" t="s">
        <v>16</v>
      </c>
      <c r="D43" s="58" t="s">
        <v>38</v>
      </c>
      <c r="E43" s="36" t="s">
        <v>28</v>
      </c>
      <c r="F43" s="36" t="s">
        <v>28</v>
      </c>
      <c r="G43" s="38"/>
      <c r="H43" s="38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="19" customFormat="true" ht="34.5" hidden="false" customHeight="true" outlineLevel="0" collapsed="false">
      <c r="A44" s="56"/>
      <c r="B44" s="59" t="s">
        <v>72</v>
      </c>
      <c r="C44" s="34"/>
      <c r="D44" s="58"/>
      <c r="E44" s="36"/>
      <c r="F44" s="36"/>
      <c r="G44" s="38"/>
      <c r="H44" s="38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="19" customFormat="true" ht="34.5" hidden="false" customHeight="true" outlineLevel="0" collapsed="false">
      <c r="A45" s="56" t="s">
        <v>73</v>
      </c>
      <c r="B45" s="60" t="s">
        <v>74</v>
      </c>
      <c r="C45" s="60"/>
      <c r="D45" s="58" t="s">
        <v>38</v>
      </c>
      <c r="E45" s="61" t="s">
        <v>28</v>
      </c>
      <c r="F45" s="61" t="s">
        <v>28</v>
      </c>
      <c r="G45" s="62"/>
      <c r="H45" s="62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="19" customFormat="true" ht="34.5" hidden="false" customHeight="true" outlineLevel="0" collapsed="false">
      <c r="A46" s="56"/>
      <c r="B46" s="63" t="s">
        <v>75</v>
      </c>
      <c r="C46" s="63"/>
      <c r="D46" s="58"/>
      <c r="E46" s="61"/>
      <c r="F46" s="61"/>
      <c r="G46" s="62"/>
      <c r="H46" s="62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="19" customFormat="true" ht="34.5" hidden="false" customHeight="true" outlineLevel="0" collapsed="false">
      <c r="A47" s="56" t="s">
        <v>76</v>
      </c>
      <c r="B47" s="57" t="s">
        <v>77</v>
      </c>
      <c r="C47" s="64" t="s">
        <v>16</v>
      </c>
      <c r="D47" s="58" t="s">
        <v>38</v>
      </c>
      <c r="E47" s="36" t="s">
        <v>28</v>
      </c>
      <c r="F47" s="36" t="s">
        <v>28</v>
      </c>
      <c r="G47" s="38"/>
      <c r="H47" s="38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customFormat="false" ht="34.5" hidden="false" customHeight="true" outlineLevel="0" collapsed="false">
      <c r="A48" s="56"/>
      <c r="B48" s="59" t="s">
        <v>78</v>
      </c>
      <c r="C48" s="64"/>
      <c r="D48" s="58"/>
      <c r="E48" s="36"/>
      <c r="F48" s="36"/>
      <c r="G48" s="38"/>
      <c r="H48" s="38"/>
    </row>
    <row r="49" s="19" customFormat="true" ht="45" hidden="false" customHeight="true" outlineLevel="0" collapsed="false">
      <c r="A49" s="43" t="s">
        <v>79</v>
      </c>
      <c r="B49" s="44" t="s">
        <v>10</v>
      </c>
      <c r="C49" s="44"/>
      <c r="D49" s="44" t="s">
        <v>11</v>
      </c>
      <c r="E49" s="44" t="s">
        <v>12</v>
      </c>
      <c r="F49" s="44" t="s">
        <v>13</v>
      </c>
      <c r="G49" s="55"/>
      <c r="H49" s="55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customFormat="false" ht="53.25" hidden="false" customHeight="true" outlineLevel="0" collapsed="false">
      <c r="A50" s="65" t="s">
        <v>80</v>
      </c>
      <c r="B50" s="66" t="s">
        <v>81</v>
      </c>
      <c r="C50" s="66"/>
      <c r="D50" s="67" t="s">
        <v>17</v>
      </c>
      <c r="E50" s="68" t="s">
        <v>28</v>
      </c>
      <c r="F50" s="68" t="s">
        <v>28</v>
      </c>
      <c r="G50" s="69"/>
      <c r="H50" s="70"/>
    </row>
    <row r="51" s="19" customFormat="true" ht="45" hidden="false" customHeight="true" outlineLevel="0" collapsed="false">
      <c r="A51" s="43" t="s">
        <v>82</v>
      </c>
      <c r="B51" s="44" t="s">
        <v>10</v>
      </c>
      <c r="C51" s="44"/>
      <c r="D51" s="44" t="s">
        <v>11</v>
      </c>
      <c r="E51" s="44" t="s">
        <v>12</v>
      </c>
      <c r="F51" s="44" t="s">
        <v>13</v>
      </c>
      <c r="G51" s="55"/>
      <c r="H51" s="55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customFormat="false" ht="34.5" hidden="false" customHeight="true" outlineLevel="0" collapsed="false">
      <c r="A52" s="56" t="s">
        <v>83</v>
      </c>
      <c r="B52" s="57" t="s">
        <v>84</v>
      </c>
      <c r="C52" s="64" t="s">
        <v>16</v>
      </c>
      <c r="D52" s="58" t="s">
        <v>17</v>
      </c>
      <c r="E52" s="36" t="s">
        <v>18</v>
      </c>
      <c r="F52" s="36" t="s">
        <v>18</v>
      </c>
      <c r="G52" s="38"/>
      <c r="H52" s="38"/>
    </row>
    <row r="53" customFormat="false" ht="34.5" hidden="false" customHeight="true" outlineLevel="0" collapsed="false">
      <c r="A53" s="56"/>
      <c r="B53" s="59" t="s">
        <v>19</v>
      </c>
      <c r="C53" s="64"/>
      <c r="D53" s="58"/>
      <c r="E53" s="36"/>
      <c r="F53" s="36"/>
      <c r="G53" s="38"/>
      <c r="H53" s="38"/>
    </row>
    <row r="54" customFormat="false" ht="34.5" hidden="false" customHeight="true" outlineLevel="0" collapsed="false">
      <c r="A54" s="56" t="s">
        <v>85</v>
      </c>
      <c r="B54" s="57" t="s">
        <v>81</v>
      </c>
      <c r="C54" s="64" t="s">
        <v>16</v>
      </c>
      <c r="D54" s="58" t="s">
        <v>17</v>
      </c>
      <c r="E54" s="71" t="n">
        <f aca="false">(2/399)/100</f>
        <v>5.0125313283208E-005</v>
      </c>
      <c r="F54" s="72" t="n">
        <f aca="false">(2/399)/100</f>
        <v>5.0125313283208E-005</v>
      </c>
      <c r="G54" s="38"/>
      <c r="H54" s="38"/>
    </row>
    <row r="55" customFormat="false" ht="34.5" hidden="false" customHeight="true" outlineLevel="0" collapsed="false">
      <c r="A55" s="56"/>
      <c r="B55" s="59" t="s">
        <v>19</v>
      </c>
      <c r="C55" s="64"/>
      <c r="D55" s="58"/>
      <c r="E55" s="71"/>
      <c r="F55" s="72"/>
      <c r="G55" s="38"/>
      <c r="H55" s="38"/>
    </row>
    <row r="56" s="19" customFormat="true" ht="45" hidden="false" customHeight="true" outlineLevel="0" collapsed="false">
      <c r="A56" s="43" t="s">
        <v>86</v>
      </c>
      <c r="B56" s="44" t="s">
        <v>10</v>
      </c>
      <c r="C56" s="44"/>
      <c r="D56" s="44" t="s">
        <v>11</v>
      </c>
      <c r="E56" s="44" t="s">
        <v>12</v>
      </c>
      <c r="F56" s="44" t="s">
        <v>13</v>
      </c>
      <c r="G56" s="55"/>
      <c r="H56" s="55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="19" customFormat="true" ht="34.5" hidden="false" customHeight="true" outlineLevel="0" collapsed="false">
      <c r="A57" s="56" t="s">
        <v>87</v>
      </c>
      <c r="B57" s="58" t="s">
        <v>88</v>
      </c>
      <c r="C57" s="58"/>
      <c r="D57" s="58" t="s">
        <v>24</v>
      </c>
      <c r="E57" s="73" t="n">
        <v>12000</v>
      </c>
      <c r="F57" s="74" t="n">
        <v>12000</v>
      </c>
      <c r="G57" s="75"/>
      <c r="H57" s="75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="19" customFormat="true" ht="34.5" hidden="false" customHeight="true" outlineLevel="0" collapsed="false">
      <c r="A58" s="56" t="s">
        <v>89</v>
      </c>
      <c r="B58" s="57" t="s">
        <v>90</v>
      </c>
      <c r="C58" s="64" t="s">
        <v>16</v>
      </c>
      <c r="D58" s="58" t="s">
        <v>57</v>
      </c>
      <c r="E58" s="36" t="n">
        <v>0.6</v>
      </c>
      <c r="F58" s="47" t="n">
        <f aca="false">180/3524</f>
        <v>0.0510783200908059</v>
      </c>
      <c r="G58" s="38"/>
      <c r="H58" s="38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="19" customFormat="true" ht="34.5" hidden="false" customHeight="true" outlineLevel="0" collapsed="false">
      <c r="A59" s="56"/>
      <c r="B59" s="59" t="s">
        <v>91</v>
      </c>
      <c r="C59" s="64"/>
      <c r="D59" s="58"/>
      <c r="E59" s="36"/>
      <c r="F59" s="47"/>
      <c r="G59" s="38"/>
      <c r="H59" s="38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="19" customFormat="true" ht="34.5" hidden="false" customHeight="true" outlineLevel="0" collapsed="false">
      <c r="A60" s="56" t="s">
        <v>92</v>
      </c>
      <c r="B60" s="57" t="s">
        <v>93</v>
      </c>
      <c r="C60" s="64" t="s">
        <v>16</v>
      </c>
      <c r="D60" s="58" t="s">
        <v>57</v>
      </c>
      <c r="E60" s="36" t="n">
        <v>0.95</v>
      </c>
      <c r="F60" s="47" t="n">
        <f aca="false">171/180</f>
        <v>0.95</v>
      </c>
      <c r="G60" s="38"/>
      <c r="H60" s="38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="19" customFormat="true" ht="34.5" hidden="false" customHeight="true" outlineLevel="0" collapsed="false">
      <c r="A61" s="56"/>
      <c r="B61" s="59" t="s">
        <v>94</v>
      </c>
      <c r="C61" s="64"/>
      <c r="D61" s="58"/>
      <c r="E61" s="36"/>
      <c r="F61" s="47"/>
      <c r="G61" s="38"/>
      <c r="H61" s="38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="19" customFormat="true" ht="78.75" hidden="false" customHeight="true" outlineLevel="0" collapsed="false">
      <c r="A62" s="56" t="s">
        <v>95</v>
      </c>
      <c r="B62" s="58" t="s">
        <v>96</v>
      </c>
      <c r="C62" s="58"/>
      <c r="D62" s="58" t="s">
        <v>38</v>
      </c>
      <c r="E62" s="76" t="s">
        <v>97</v>
      </c>
      <c r="F62" s="76" t="s">
        <v>97</v>
      </c>
      <c r="G62" s="75"/>
      <c r="H62" s="75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="19" customFormat="true" ht="45" hidden="false" customHeight="true" outlineLevel="0" collapsed="false">
      <c r="A63" s="43" t="s">
        <v>98</v>
      </c>
      <c r="B63" s="44" t="s">
        <v>10</v>
      </c>
      <c r="C63" s="44"/>
      <c r="D63" s="44" t="s">
        <v>11</v>
      </c>
      <c r="E63" s="44" t="s">
        <v>12</v>
      </c>
      <c r="F63" s="44" t="s">
        <v>13</v>
      </c>
      <c r="G63" s="55"/>
      <c r="H63" s="55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="19" customFormat="true" ht="34.5" hidden="false" customHeight="true" outlineLevel="0" collapsed="false">
      <c r="A64" s="77" t="s">
        <v>99</v>
      </c>
      <c r="B64" s="78" t="s">
        <v>100</v>
      </c>
      <c r="C64" s="64" t="s">
        <v>16</v>
      </c>
      <c r="D64" s="58" t="s">
        <v>17</v>
      </c>
      <c r="E64" s="36" t="n">
        <v>0.9</v>
      </c>
      <c r="F64" s="47" t="n">
        <f aca="false">55/57</f>
        <v>0.964912280701754</v>
      </c>
      <c r="G64" s="38"/>
      <c r="H64" s="38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="19" customFormat="true" ht="34.5" hidden="false" customHeight="true" outlineLevel="0" collapsed="false">
      <c r="A65" s="77"/>
      <c r="B65" s="79" t="s">
        <v>101</v>
      </c>
      <c r="C65" s="64"/>
      <c r="D65" s="58"/>
      <c r="E65" s="36"/>
      <c r="F65" s="47"/>
      <c r="G65" s="38"/>
      <c r="H65" s="38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="19" customFormat="true" ht="34.5" hidden="false" customHeight="true" outlineLevel="0" collapsed="false">
      <c r="A66" s="77" t="s">
        <v>102</v>
      </c>
      <c r="B66" s="78" t="s">
        <v>103</v>
      </c>
      <c r="C66" s="64" t="s">
        <v>16</v>
      </c>
      <c r="D66" s="58" t="s">
        <v>17</v>
      </c>
      <c r="E66" s="36" t="s">
        <v>28</v>
      </c>
      <c r="F66" s="36" t="n">
        <v>0.3</v>
      </c>
      <c r="G66" s="38"/>
      <c r="H66" s="38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="19" customFormat="true" ht="34.5" hidden="false" customHeight="true" outlineLevel="0" collapsed="false">
      <c r="A67" s="77"/>
      <c r="B67" s="79" t="s">
        <v>104</v>
      </c>
      <c r="C67" s="64"/>
      <c r="D67" s="58"/>
      <c r="E67" s="36"/>
      <c r="F67" s="36"/>
      <c r="G67" s="38"/>
      <c r="H67" s="38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="19" customFormat="true" ht="34.5" hidden="false" customHeight="true" outlineLevel="0" collapsed="false">
      <c r="A68" s="56" t="s">
        <v>105</v>
      </c>
      <c r="B68" s="60" t="s">
        <v>106</v>
      </c>
      <c r="C68" s="60"/>
      <c r="D68" s="58" t="s">
        <v>38</v>
      </c>
      <c r="E68" s="80" t="s">
        <v>28</v>
      </c>
      <c r="F68" s="80" t="n">
        <f aca="false">1819/3675</f>
        <v>0.494965986394558</v>
      </c>
      <c r="G68" s="52"/>
      <c r="H68" s="52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="19" customFormat="true" ht="34.5" hidden="false" customHeight="true" outlineLevel="0" collapsed="false">
      <c r="A69" s="56"/>
      <c r="B69" s="63" t="s">
        <v>107</v>
      </c>
      <c r="C69" s="63"/>
      <c r="D69" s="58"/>
      <c r="E69" s="80"/>
      <c r="F69" s="80"/>
      <c r="G69" s="52"/>
      <c r="H69" s="52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="19" customFormat="true" ht="45" hidden="false" customHeight="true" outlineLevel="0" collapsed="false">
      <c r="A70" s="43" t="s">
        <v>108</v>
      </c>
      <c r="B70" s="44" t="s">
        <v>10</v>
      </c>
      <c r="C70" s="44"/>
      <c r="D70" s="44" t="s">
        <v>11</v>
      </c>
      <c r="E70" s="44" t="s">
        <v>12</v>
      </c>
      <c r="F70" s="44" t="s">
        <v>13</v>
      </c>
      <c r="G70" s="55"/>
      <c r="H70" s="55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="19" customFormat="true" ht="34.5" hidden="false" customHeight="true" outlineLevel="0" collapsed="false">
      <c r="A71" s="56" t="s">
        <v>109</v>
      </c>
      <c r="B71" s="60" t="s">
        <v>110</v>
      </c>
      <c r="C71" s="60"/>
      <c r="D71" s="58" t="s">
        <v>57</v>
      </c>
      <c r="E71" s="80" t="n">
        <f aca="false">78904/11597.484</f>
        <v>6.80354463088718</v>
      </c>
      <c r="F71" s="80" t="n">
        <f aca="false">74309/11597.484</f>
        <v>6.40733800538117</v>
      </c>
      <c r="G71" s="52"/>
      <c r="H71" s="52" t="e">
        <f aca="false">'[3]Diretrizes - Resumo'!AK24/('[3]Diretrizes - Resumo'!AK27/1000)</f>
        <v>#N/A</v>
      </c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="19" customFormat="true" ht="34.5" hidden="false" customHeight="true" outlineLevel="0" collapsed="false">
      <c r="A72" s="56"/>
      <c r="B72" s="63" t="s">
        <v>111</v>
      </c>
      <c r="C72" s="63"/>
      <c r="D72" s="58"/>
      <c r="E72" s="80"/>
      <c r="F72" s="80"/>
      <c r="G72" s="52"/>
      <c r="H72" s="52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="19" customFormat="true" ht="34.5" hidden="false" customHeight="true" outlineLevel="0" collapsed="false">
      <c r="A73" s="56" t="s">
        <v>112</v>
      </c>
      <c r="B73" s="57" t="s">
        <v>113</v>
      </c>
      <c r="C73" s="64" t="s">
        <v>16</v>
      </c>
      <c r="D73" s="58" t="s">
        <v>57</v>
      </c>
      <c r="E73" s="36" t="s">
        <v>97</v>
      </c>
      <c r="F73" s="81" t="n">
        <f aca="false">(((3939/10)*12)/74309)*100</f>
        <v>6.36100606925137</v>
      </c>
      <c r="G73" s="38"/>
      <c r="H73" s="38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customFormat="false" ht="34.5" hidden="false" customHeight="true" outlineLevel="0" collapsed="false">
      <c r="A74" s="56"/>
      <c r="B74" s="59" t="s">
        <v>114</v>
      </c>
      <c r="C74" s="64"/>
      <c r="D74" s="58"/>
      <c r="E74" s="36"/>
      <c r="F74" s="81"/>
      <c r="G74" s="38"/>
      <c r="H74" s="38"/>
    </row>
    <row r="75" s="19" customFormat="true" ht="34.5" hidden="false" customHeight="true" outlineLevel="0" collapsed="false">
      <c r="A75" s="56" t="s">
        <v>115</v>
      </c>
      <c r="B75" s="57" t="s">
        <v>116</v>
      </c>
      <c r="C75" s="64" t="s">
        <v>16</v>
      </c>
      <c r="D75" s="58" t="s">
        <v>57</v>
      </c>
      <c r="E75" s="36" t="s">
        <v>97</v>
      </c>
      <c r="F75" s="81" t="n">
        <f aca="false">(((140/10)*12)/74309)*100</f>
        <v>0.226082977835794</v>
      </c>
      <c r="G75" s="38"/>
      <c r="H75" s="38"/>
    </row>
    <row r="76" s="19" customFormat="true" ht="34.5" hidden="false" customHeight="true" outlineLevel="0" collapsed="false">
      <c r="A76" s="56"/>
      <c r="B76" s="59" t="s">
        <v>114</v>
      </c>
      <c r="C76" s="64"/>
      <c r="D76" s="58"/>
      <c r="E76" s="36"/>
      <c r="F76" s="81"/>
      <c r="G76" s="38"/>
      <c r="H76" s="38"/>
    </row>
    <row r="77" s="19" customFormat="true" ht="45" hidden="false" customHeight="true" outlineLevel="0" collapsed="false">
      <c r="A77" s="43" t="s">
        <v>117</v>
      </c>
      <c r="B77" s="44" t="s">
        <v>10</v>
      </c>
      <c r="C77" s="44"/>
      <c r="D77" s="44" t="s">
        <v>11</v>
      </c>
      <c r="E77" s="44" t="s">
        <v>12</v>
      </c>
      <c r="F77" s="44" t="s">
        <v>13</v>
      </c>
      <c r="G77" s="55"/>
      <c r="H77" s="55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customFormat="false" ht="34.5" hidden="false" customHeight="true" outlineLevel="0" collapsed="false">
      <c r="A78" s="56" t="s">
        <v>118</v>
      </c>
      <c r="B78" s="60" t="s">
        <v>119</v>
      </c>
      <c r="C78" s="60"/>
      <c r="D78" s="58" t="s">
        <v>120</v>
      </c>
      <c r="E78" s="61" t="n">
        <f aca="false">11559118.8/14079</f>
        <v>821.018453015129</v>
      </c>
      <c r="F78" s="82" t="n">
        <v>920.38</v>
      </c>
      <c r="G78" s="62"/>
      <c r="H78" s="62" t="e">
        <f aca="false">'[3]Anexo 1. Fontes e Aplicações'!D8/'[3]Diretrizes - Resumo'!AK19</f>
        <v>#N/A</v>
      </c>
    </row>
    <row r="79" customFormat="false" ht="34.5" hidden="false" customHeight="true" outlineLevel="0" collapsed="false">
      <c r="A79" s="56"/>
      <c r="B79" s="63" t="s">
        <v>121</v>
      </c>
      <c r="C79" s="63"/>
      <c r="D79" s="58"/>
      <c r="E79" s="61"/>
      <c r="F79" s="82"/>
      <c r="G79" s="62"/>
      <c r="H79" s="62"/>
    </row>
    <row r="80" customFormat="false" ht="34.5" hidden="false" customHeight="true" outlineLevel="0" collapsed="false">
      <c r="A80" s="56" t="s">
        <v>122</v>
      </c>
      <c r="B80" s="57" t="s">
        <v>123</v>
      </c>
      <c r="C80" s="64" t="s">
        <v>16</v>
      </c>
      <c r="D80" s="58" t="s">
        <v>124</v>
      </c>
      <c r="E80" s="36" t="n">
        <f aca="false">7126626.22/11559118.8</f>
        <v>0.616537155064104</v>
      </c>
      <c r="F80" s="47" t="n">
        <v>0.602</v>
      </c>
      <c r="G80" s="38"/>
      <c r="H80" s="38" t="e">
        <f aca="false">'[3]Anexo 2. Limites Estratégicos'!M5/'[3]Anexo 2. Limites Estratégicos'!M7</f>
        <v>#DIV/0!</v>
      </c>
    </row>
    <row r="81" customFormat="false" ht="34.5" hidden="false" customHeight="true" outlineLevel="0" collapsed="false">
      <c r="A81" s="56"/>
      <c r="B81" s="59" t="s">
        <v>119</v>
      </c>
      <c r="C81" s="64"/>
      <c r="D81" s="58"/>
      <c r="E81" s="36"/>
      <c r="F81" s="47"/>
      <c r="G81" s="38"/>
      <c r="H81" s="38"/>
    </row>
    <row r="82" customFormat="false" ht="34.5" hidden="false" customHeight="true" outlineLevel="0" collapsed="false">
      <c r="A82" s="56" t="s">
        <v>125</v>
      </c>
      <c r="B82" s="60" t="s">
        <v>126</v>
      </c>
      <c r="C82" s="60"/>
      <c r="D82" s="58" t="s">
        <v>38</v>
      </c>
      <c r="E82" s="80" t="n">
        <f aca="false">20314367.03/1140931.34</f>
        <v>17.8050740809697</v>
      </c>
      <c r="F82" s="80" t="n">
        <f aca="false">20314367.03/1140931.34</f>
        <v>17.8050740809697</v>
      </c>
      <c r="G82" s="52"/>
      <c r="H82" s="52"/>
    </row>
    <row r="83" customFormat="false" ht="34.5" hidden="false" customHeight="true" outlineLevel="0" collapsed="false">
      <c r="A83" s="56"/>
      <c r="B83" s="63" t="s">
        <v>127</v>
      </c>
      <c r="C83" s="63"/>
      <c r="D83" s="58"/>
      <c r="E83" s="80"/>
      <c r="F83" s="80"/>
      <c r="G83" s="52"/>
      <c r="H83" s="52"/>
    </row>
    <row r="84" customFormat="false" ht="34.5" hidden="false" customHeight="true" outlineLevel="0" collapsed="false">
      <c r="A84" s="56" t="s">
        <v>128</v>
      </c>
      <c r="B84" s="57" t="s">
        <v>129</v>
      </c>
      <c r="C84" s="64" t="s">
        <v>16</v>
      </c>
      <c r="D84" s="58" t="s">
        <v>45</v>
      </c>
      <c r="E84" s="36" t="n">
        <v>0.252</v>
      </c>
      <c r="F84" s="47" t="n">
        <v>0.306</v>
      </c>
      <c r="G84" s="38"/>
      <c r="H84" s="38" t="e">
        <f aca="false">'[3]Diretrizes - Resumo'!AK21/100</f>
        <v>#N/A</v>
      </c>
    </row>
    <row r="85" s="19" customFormat="true" ht="34.5" hidden="false" customHeight="true" outlineLevel="0" collapsed="false">
      <c r="A85" s="56"/>
      <c r="B85" s="59" t="s">
        <v>130</v>
      </c>
      <c r="C85" s="64"/>
      <c r="D85" s="58"/>
      <c r="E85" s="36"/>
      <c r="F85" s="47"/>
      <c r="G85" s="38"/>
      <c r="H85" s="38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="19" customFormat="true" ht="34.5" hidden="false" customHeight="true" outlineLevel="0" collapsed="false">
      <c r="A86" s="56" t="s">
        <v>131</v>
      </c>
      <c r="B86" s="57" t="s">
        <v>132</v>
      </c>
      <c r="C86" s="64" t="s">
        <v>16</v>
      </c>
      <c r="D86" s="58" t="s">
        <v>45</v>
      </c>
      <c r="E86" s="36" t="n">
        <v>0.464</v>
      </c>
      <c r="F86" s="47" t="n">
        <v>0.533</v>
      </c>
      <c r="G86" s="38"/>
      <c r="H86" s="38" t="e">
        <f aca="false">'[3]Diretrizes - Resumo'!AK23/100</f>
        <v>#N/A</v>
      </c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="19" customFormat="true" ht="34.5" hidden="false" customHeight="true" outlineLevel="0" collapsed="false">
      <c r="A87" s="56"/>
      <c r="B87" s="59" t="s">
        <v>133</v>
      </c>
      <c r="C87" s="64"/>
      <c r="D87" s="58"/>
      <c r="E87" s="36"/>
      <c r="F87" s="47"/>
      <c r="G87" s="38"/>
      <c r="H87" s="38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="19" customFormat="true" ht="45" hidden="false" customHeight="true" outlineLevel="0" collapsed="false">
      <c r="A88" s="43" t="s">
        <v>134</v>
      </c>
      <c r="B88" s="44" t="s">
        <v>10</v>
      </c>
      <c r="C88" s="44"/>
      <c r="D88" s="44" t="s">
        <v>11</v>
      </c>
      <c r="E88" s="44" t="s">
        <v>12</v>
      </c>
      <c r="F88" s="44" t="s">
        <v>13</v>
      </c>
      <c r="G88" s="55"/>
      <c r="H88" s="55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="19" customFormat="true" ht="34.5" hidden="false" customHeight="true" outlineLevel="0" collapsed="false">
      <c r="A89" s="56" t="s">
        <v>135</v>
      </c>
      <c r="B89" s="57" t="s">
        <v>136</v>
      </c>
      <c r="C89" s="64" t="s">
        <v>16</v>
      </c>
      <c r="D89" s="58" t="s">
        <v>124</v>
      </c>
      <c r="E89" s="36" t="s">
        <v>18</v>
      </c>
      <c r="F89" s="36" t="s">
        <v>18</v>
      </c>
      <c r="G89" s="38"/>
      <c r="H89" s="38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="19" customFormat="true" ht="34.5" hidden="false" customHeight="true" outlineLevel="0" collapsed="false">
      <c r="A90" s="56"/>
      <c r="B90" s="59" t="s">
        <v>137</v>
      </c>
      <c r="C90" s="64"/>
      <c r="D90" s="58"/>
      <c r="E90" s="36"/>
      <c r="F90" s="36"/>
      <c r="G90" s="38"/>
      <c r="H90" s="38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="19" customFormat="true" ht="34.5" hidden="false" customHeight="true" outlineLevel="0" collapsed="false">
      <c r="A91" s="56" t="s">
        <v>138</v>
      </c>
      <c r="B91" s="57" t="s">
        <v>139</v>
      </c>
      <c r="C91" s="64" t="s">
        <v>16</v>
      </c>
      <c r="D91" s="58" t="s">
        <v>124</v>
      </c>
      <c r="E91" s="36" t="s">
        <v>18</v>
      </c>
      <c r="F91" s="36" t="s">
        <v>18</v>
      </c>
      <c r="G91" s="38"/>
      <c r="H91" s="38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="19" customFormat="true" ht="34.5" hidden="false" customHeight="true" outlineLevel="0" collapsed="false">
      <c r="A92" s="56"/>
      <c r="B92" s="59" t="s">
        <v>140</v>
      </c>
      <c r="C92" s="64"/>
      <c r="D92" s="58"/>
      <c r="E92" s="36"/>
      <c r="F92" s="36"/>
      <c r="G92" s="38"/>
      <c r="H92" s="38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="19" customFormat="true" ht="34.5" hidden="false" customHeight="true" outlineLevel="0" collapsed="false">
      <c r="A93" s="56" t="s">
        <v>141</v>
      </c>
      <c r="B93" s="57" t="s">
        <v>142</v>
      </c>
      <c r="C93" s="64" t="s">
        <v>16</v>
      </c>
      <c r="D93" s="58" t="s">
        <v>124</v>
      </c>
      <c r="E93" s="36" t="s">
        <v>18</v>
      </c>
      <c r="F93" s="36" t="s">
        <v>18</v>
      </c>
      <c r="G93" s="38"/>
      <c r="H93" s="38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="19" customFormat="true" ht="34.5" hidden="false" customHeight="true" outlineLevel="0" collapsed="false">
      <c r="A94" s="56"/>
      <c r="B94" s="59" t="s">
        <v>140</v>
      </c>
      <c r="C94" s="64"/>
      <c r="D94" s="58"/>
      <c r="E94" s="36"/>
      <c r="F94" s="36"/>
      <c r="G94" s="38"/>
      <c r="H94" s="38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="19" customFormat="true" ht="45" hidden="false" customHeight="true" outlineLevel="0" collapsed="false">
      <c r="A95" s="43" t="s">
        <v>143</v>
      </c>
      <c r="B95" s="44" t="s">
        <v>10</v>
      </c>
      <c r="C95" s="44"/>
      <c r="D95" s="44" t="s">
        <v>11</v>
      </c>
      <c r="E95" s="44" t="s">
        <v>12</v>
      </c>
      <c r="F95" s="44" t="s">
        <v>13</v>
      </c>
      <c r="G95" s="55"/>
      <c r="H95" s="55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="19" customFormat="true" ht="34.5" hidden="false" customHeight="true" outlineLevel="0" collapsed="false">
      <c r="A96" s="56" t="s">
        <v>144</v>
      </c>
      <c r="B96" s="60" t="s">
        <v>145</v>
      </c>
      <c r="C96" s="60"/>
      <c r="D96" s="58" t="s">
        <v>17</v>
      </c>
      <c r="E96" s="80" t="n">
        <f aca="false">(((10000+10000)/810)*8)/44</f>
        <v>4.48933782267116</v>
      </c>
      <c r="F96" s="80" t="n">
        <v>1.64</v>
      </c>
      <c r="G96" s="52"/>
      <c r="H96" s="52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="19" customFormat="true" ht="34.5" hidden="false" customHeight="true" outlineLevel="0" collapsed="false">
      <c r="A97" s="56"/>
      <c r="B97" s="63" t="s">
        <v>146</v>
      </c>
      <c r="C97" s="63"/>
      <c r="D97" s="58"/>
      <c r="E97" s="80"/>
      <c r="F97" s="80"/>
      <c r="G97" s="52"/>
      <c r="H97" s="52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="19" customFormat="true" ht="45" hidden="false" customHeight="true" outlineLevel="0" collapsed="false">
      <c r="A98" s="43" t="s">
        <v>147</v>
      </c>
      <c r="B98" s="44" t="s">
        <v>10</v>
      </c>
      <c r="C98" s="44"/>
      <c r="D98" s="44" t="s">
        <v>11</v>
      </c>
      <c r="E98" s="44" t="s">
        <v>12</v>
      </c>
      <c r="F98" s="44" t="s">
        <v>13</v>
      </c>
      <c r="G98" s="55"/>
      <c r="H98" s="55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="19" customFormat="true" ht="34.5" hidden="false" customHeight="true" outlineLevel="0" collapsed="false">
      <c r="A99" s="56" t="s">
        <v>148</v>
      </c>
      <c r="B99" s="58" t="s">
        <v>149</v>
      </c>
      <c r="C99" s="58"/>
      <c r="D99" s="58" t="s">
        <v>17</v>
      </c>
      <c r="E99" s="73" t="n">
        <v>6</v>
      </c>
      <c r="F99" s="74" t="n">
        <v>5</v>
      </c>
      <c r="G99" s="83"/>
      <c r="H99" s="83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="19" customFormat="true" ht="34.5" hidden="false" customHeight="true" outlineLevel="0" collapsed="false">
      <c r="A100" s="56" t="s">
        <v>150</v>
      </c>
      <c r="B100" s="57" t="s">
        <v>151</v>
      </c>
      <c r="C100" s="64" t="s">
        <v>16</v>
      </c>
      <c r="D100" s="58" t="s">
        <v>38</v>
      </c>
      <c r="E100" s="36" t="n">
        <v>0.8</v>
      </c>
      <c r="F100" s="47" t="n">
        <v>0.8</v>
      </c>
      <c r="G100" s="38"/>
      <c r="H100" s="38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="19" customFormat="true" ht="34.5" hidden="false" customHeight="true" outlineLevel="0" collapsed="false">
      <c r="A101" s="56"/>
      <c r="B101" s="59" t="s">
        <v>152</v>
      </c>
      <c r="C101" s="64"/>
      <c r="D101" s="58"/>
      <c r="E101" s="36"/>
      <c r="F101" s="47"/>
      <c r="G101" s="38"/>
      <c r="H101" s="38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="19" customFormat="true" ht="45" hidden="false" customHeight="true" outlineLevel="0" collapsed="false">
      <c r="A102" s="43" t="s">
        <v>153</v>
      </c>
      <c r="B102" s="44" t="s">
        <v>10</v>
      </c>
      <c r="C102" s="44"/>
      <c r="D102" s="44" t="s">
        <v>11</v>
      </c>
      <c r="E102" s="44" t="s">
        <v>12</v>
      </c>
      <c r="F102" s="44" t="s">
        <v>13</v>
      </c>
      <c r="G102" s="55"/>
      <c r="H102" s="55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="19" customFormat="true" ht="34.5" hidden="false" customHeight="true" outlineLevel="0" collapsed="false">
      <c r="A103" s="56" t="s">
        <v>154</v>
      </c>
      <c r="B103" s="57" t="s">
        <v>155</v>
      </c>
      <c r="C103" s="64" t="s">
        <v>16</v>
      </c>
      <c r="D103" s="58" t="s">
        <v>38</v>
      </c>
      <c r="E103" s="36" t="n">
        <v>0.8</v>
      </c>
      <c r="F103" s="47" t="n">
        <v>0.83</v>
      </c>
      <c r="G103" s="38"/>
      <c r="H103" s="38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customFormat="false" ht="34.5" hidden="false" customHeight="true" outlineLevel="0" collapsed="false">
      <c r="A104" s="56"/>
      <c r="B104" s="84" t="s">
        <v>156</v>
      </c>
      <c r="C104" s="64"/>
      <c r="D104" s="58"/>
      <c r="E104" s="36"/>
      <c r="F104" s="47"/>
      <c r="G104" s="38"/>
      <c r="H104" s="38"/>
    </row>
    <row r="105" customFormat="false" ht="34.5" hidden="false" customHeight="true" outlineLevel="0" collapsed="false">
      <c r="A105" s="56" t="s">
        <v>157</v>
      </c>
      <c r="B105" s="57" t="s">
        <v>158</v>
      </c>
      <c r="C105" s="64" t="s">
        <v>16</v>
      </c>
      <c r="D105" s="58" t="s">
        <v>124</v>
      </c>
      <c r="E105" s="36" t="n">
        <v>0.8</v>
      </c>
      <c r="F105" s="47" t="n">
        <v>0.62</v>
      </c>
      <c r="G105" s="38"/>
      <c r="H105" s="38"/>
    </row>
    <row r="106" customFormat="false" ht="34.5" hidden="false" customHeight="true" outlineLevel="0" collapsed="false">
      <c r="A106" s="56"/>
      <c r="B106" s="84" t="s">
        <v>159</v>
      </c>
      <c r="C106" s="64"/>
      <c r="D106" s="58"/>
      <c r="E106" s="36"/>
      <c r="F106" s="47"/>
      <c r="G106" s="38"/>
      <c r="H106" s="38"/>
    </row>
    <row r="107" customFormat="false" ht="21.75" hidden="false" customHeight="true" outlineLevel="0" collapsed="false"/>
    <row r="108" customFormat="false" ht="23.25" hidden="false" customHeight="true" outlineLevel="0" collapsed="false">
      <c r="A108" s="43" t="s">
        <v>160</v>
      </c>
      <c r="B108" s="43"/>
      <c r="C108" s="43"/>
      <c r="D108" s="43"/>
      <c r="E108" s="43"/>
      <c r="F108" s="43"/>
    </row>
    <row r="109" customFormat="false" ht="45" hidden="false" customHeight="true" outlineLevel="0" collapsed="false">
      <c r="A109" s="65"/>
      <c r="B109" s="65"/>
      <c r="C109" s="65"/>
      <c r="D109" s="65"/>
      <c r="E109" s="65"/>
      <c r="F109" s="65"/>
    </row>
    <row r="111" customFormat="false" ht="23.5" hidden="true" customHeight="false" outlineLevel="0" collapsed="false">
      <c r="A111" s="85" t="s">
        <v>161</v>
      </c>
    </row>
    <row r="112" customFormat="false" ht="23.5" hidden="true" customHeight="false" outlineLevel="0" collapsed="false">
      <c r="A112" s="86"/>
    </row>
    <row r="113" customFormat="false" ht="23.5" hidden="true" customHeight="false" outlineLevel="0" collapsed="false">
      <c r="A113" s="86"/>
    </row>
    <row r="114" customFormat="false" ht="23.5" hidden="true" customHeight="false" outlineLevel="0" collapsed="false">
      <c r="A114" s="86"/>
    </row>
    <row r="115" customFormat="false" ht="23.5" hidden="true" customHeight="false" outlineLevel="0" collapsed="false">
      <c r="A115" s="86"/>
    </row>
    <row r="116" customFormat="false" ht="23.5" hidden="true" customHeight="false" outlineLevel="0" collapsed="false">
      <c r="A116" s="86"/>
    </row>
    <row r="117" customFormat="false" ht="23.5" hidden="true" customHeight="false" outlineLevel="0" collapsed="false">
      <c r="A117" s="86"/>
    </row>
    <row r="118" customFormat="false" ht="23.5" hidden="true" customHeight="false" outlineLevel="0" collapsed="false">
      <c r="A118" s="86"/>
    </row>
    <row r="119" customFormat="false" ht="23.5" hidden="true" customHeight="false" outlineLevel="0" collapsed="false">
      <c r="A119" s="86"/>
    </row>
    <row r="120" customFormat="false" ht="23.5" hidden="true" customHeight="false" outlineLevel="0" collapsed="false">
      <c r="A120" s="86"/>
    </row>
    <row r="121" customFormat="false" ht="23.5" hidden="true" customHeight="false" outlineLevel="0" collapsed="false">
      <c r="A121" s="86"/>
    </row>
    <row r="122" customFormat="false" ht="23.5" hidden="true" customHeight="false" outlineLevel="0" collapsed="false">
      <c r="A122" s="86"/>
    </row>
    <row r="123" customFormat="false" ht="23.5" hidden="true" customHeight="false" outlineLevel="0" collapsed="false">
      <c r="A123" s="86"/>
    </row>
    <row r="124" customFormat="false" ht="23.5" hidden="true" customHeight="false" outlineLevel="0" collapsed="false">
      <c r="A124" s="86"/>
    </row>
    <row r="125" customFormat="false" ht="23.5" hidden="true" customHeight="false" outlineLevel="0" collapsed="false">
      <c r="A125" s="86"/>
    </row>
    <row r="126" customFormat="false" ht="23.5" hidden="true" customHeight="false" outlineLevel="0" collapsed="false">
      <c r="A126" s="86"/>
    </row>
    <row r="127" customFormat="false" ht="23.5" hidden="true" customHeight="false" outlineLevel="0" collapsed="false">
      <c r="A127" s="86"/>
    </row>
  </sheetData>
  <mergeCells count="313">
    <mergeCell ref="A1:F1"/>
    <mergeCell ref="A2:F2"/>
    <mergeCell ref="A3:F3"/>
    <mergeCell ref="B5:F5"/>
    <mergeCell ref="A6:F6"/>
    <mergeCell ref="B7:C7"/>
    <mergeCell ref="A8:A9"/>
    <mergeCell ref="C8:C9"/>
    <mergeCell ref="D8:D9"/>
    <mergeCell ref="E8:E9"/>
    <mergeCell ref="F8:F9"/>
    <mergeCell ref="G8:G9"/>
    <mergeCell ref="H8:H9"/>
    <mergeCell ref="A11:F11"/>
    <mergeCell ref="B12:C12"/>
    <mergeCell ref="A13:A14"/>
    <mergeCell ref="C13:C14"/>
    <mergeCell ref="D13:D14"/>
    <mergeCell ref="E13:E14"/>
    <mergeCell ref="F13:F14"/>
    <mergeCell ref="G13:G14"/>
    <mergeCell ref="H13:H14"/>
    <mergeCell ref="A15:A16"/>
    <mergeCell ref="C15:C16"/>
    <mergeCell ref="D15:D16"/>
    <mergeCell ref="E15:E16"/>
    <mergeCell ref="F15:F16"/>
    <mergeCell ref="G15:G16"/>
    <mergeCell ref="H15:H16"/>
    <mergeCell ref="A17:A18"/>
    <mergeCell ref="B17:C17"/>
    <mergeCell ref="D17:D18"/>
    <mergeCell ref="E17:E18"/>
    <mergeCell ref="F17:F18"/>
    <mergeCell ref="G17:G18"/>
    <mergeCell ref="H17:H18"/>
    <mergeCell ref="B18:C18"/>
    <mergeCell ref="A19:A20"/>
    <mergeCell ref="C19:C20"/>
    <mergeCell ref="D19:D20"/>
    <mergeCell ref="E19:E20"/>
    <mergeCell ref="F19:F20"/>
    <mergeCell ref="G19:G20"/>
    <mergeCell ref="H19:H20"/>
    <mergeCell ref="A21:A22"/>
    <mergeCell ref="C21:C22"/>
    <mergeCell ref="D21:D22"/>
    <mergeCell ref="E21:E22"/>
    <mergeCell ref="F21:F22"/>
    <mergeCell ref="G21:G22"/>
    <mergeCell ref="H21:H22"/>
    <mergeCell ref="A23:A24"/>
    <mergeCell ref="C23:C24"/>
    <mergeCell ref="D23:D24"/>
    <mergeCell ref="E23:E24"/>
    <mergeCell ref="F23:F24"/>
    <mergeCell ref="G23:G24"/>
    <mergeCell ref="H23:H24"/>
    <mergeCell ref="A25:A26"/>
    <mergeCell ref="C25:C26"/>
    <mergeCell ref="D25:D26"/>
    <mergeCell ref="E25:E26"/>
    <mergeCell ref="F25:F26"/>
    <mergeCell ref="G25:G26"/>
    <mergeCell ref="H25:H26"/>
    <mergeCell ref="A27:A28"/>
    <mergeCell ref="C27:C28"/>
    <mergeCell ref="D27:D28"/>
    <mergeCell ref="E27:E28"/>
    <mergeCell ref="F27:F28"/>
    <mergeCell ref="G27:G28"/>
    <mergeCell ref="H27:H28"/>
    <mergeCell ref="A29:A30"/>
    <mergeCell ref="C29:C30"/>
    <mergeCell ref="D29:D30"/>
    <mergeCell ref="E29:E30"/>
    <mergeCell ref="F29:F30"/>
    <mergeCell ref="G29:G30"/>
    <mergeCell ref="H29:H30"/>
    <mergeCell ref="A31:A32"/>
    <mergeCell ref="C31:C32"/>
    <mergeCell ref="D31:D32"/>
    <mergeCell ref="E31:E32"/>
    <mergeCell ref="F31:F32"/>
    <mergeCell ref="G31:G32"/>
    <mergeCell ref="H31:H32"/>
    <mergeCell ref="B33:C33"/>
    <mergeCell ref="A34:A35"/>
    <mergeCell ref="C34:C35"/>
    <mergeCell ref="D34:D35"/>
    <mergeCell ref="E34:E35"/>
    <mergeCell ref="F34:F35"/>
    <mergeCell ref="G34:G35"/>
    <mergeCell ref="H34:H35"/>
    <mergeCell ref="A36:A37"/>
    <mergeCell ref="C36:C37"/>
    <mergeCell ref="D36:D37"/>
    <mergeCell ref="E36:E37"/>
    <mergeCell ref="F36:F37"/>
    <mergeCell ref="G36:G37"/>
    <mergeCell ref="H36:H37"/>
    <mergeCell ref="A38:A39"/>
    <mergeCell ref="C38:C39"/>
    <mergeCell ref="D38:D39"/>
    <mergeCell ref="E38:E39"/>
    <mergeCell ref="F38:F39"/>
    <mergeCell ref="G38:G39"/>
    <mergeCell ref="H38:H39"/>
    <mergeCell ref="B40:C40"/>
    <mergeCell ref="A41:A42"/>
    <mergeCell ref="C41:C42"/>
    <mergeCell ref="D41:D42"/>
    <mergeCell ref="E41:E42"/>
    <mergeCell ref="F41:F42"/>
    <mergeCell ref="G41:G42"/>
    <mergeCell ref="H41:H42"/>
    <mergeCell ref="A43:A44"/>
    <mergeCell ref="C43:C44"/>
    <mergeCell ref="D43:D44"/>
    <mergeCell ref="E43:E44"/>
    <mergeCell ref="F43:F44"/>
    <mergeCell ref="G43:G44"/>
    <mergeCell ref="H43:H44"/>
    <mergeCell ref="A45:A46"/>
    <mergeCell ref="B45:C45"/>
    <mergeCell ref="D45:D46"/>
    <mergeCell ref="E45:E46"/>
    <mergeCell ref="F45:F46"/>
    <mergeCell ref="G45:G46"/>
    <mergeCell ref="H45:H46"/>
    <mergeCell ref="B46:C46"/>
    <mergeCell ref="A47:A48"/>
    <mergeCell ref="C47:C48"/>
    <mergeCell ref="D47:D48"/>
    <mergeCell ref="E47:E48"/>
    <mergeCell ref="F47:F48"/>
    <mergeCell ref="G47:G48"/>
    <mergeCell ref="H47:H48"/>
    <mergeCell ref="B49:C49"/>
    <mergeCell ref="B50:C50"/>
    <mergeCell ref="B51:C51"/>
    <mergeCell ref="A52:A53"/>
    <mergeCell ref="C52:C53"/>
    <mergeCell ref="D52:D53"/>
    <mergeCell ref="E52:E53"/>
    <mergeCell ref="F52:F53"/>
    <mergeCell ref="G52:G53"/>
    <mergeCell ref="H52:H53"/>
    <mergeCell ref="A54:A55"/>
    <mergeCell ref="C54:C55"/>
    <mergeCell ref="D54:D55"/>
    <mergeCell ref="E54:E55"/>
    <mergeCell ref="F54:F55"/>
    <mergeCell ref="G54:G55"/>
    <mergeCell ref="H54:H55"/>
    <mergeCell ref="B56:C56"/>
    <mergeCell ref="B57:C57"/>
    <mergeCell ref="A58:A59"/>
    <mergeCell ref="C58:C59"/>
    <mergeCell ref="D58:D59"/>
    <mergeCell ref="E58:E59"/>
    <mergeCell ref="F58:F59"/>
    <mergeCell ref="G58:G59"/>
    <mergeCell ref="H58:H59"/>
    <mergeCell ref="A60:A61"/>
    <mergeCell ref="C60:C61"/>
    <mergeCell ref="D60:D61"/>
    <mergeCell ref="E60:E61"/>
    <mergeCell ref="F60:F61"/>
    <mergeCell ref="G60:G61"/>
    <mergeCell ref="H60:H61"/>
    <mergeCell ref="B62:C62"/>
    <mergeCell ref="B63:C63"/>
    <mergeCell ref="A64:A65"/>
    <mergeCell ref="C64:C65"/>
    <mergeCell ref="D64:D65"/>
    <mergeCell ref="E64:E65"/>
    <mergeCell ref="F64:F65"/>
    <mergeCell ref="G64:G65"/>
    <mergeCell ref="H64:H65"/>
    <mergeCell ref="A66:A67"/>
    <mergeCell ref="C66:C67"/>
    <mergeCell ref="D66:D67"/>
    <mergeCell ref="E66:E67"/>
    <mergeCell ref="F66:F67"/>
    <mergeCell ref="G66:G67"/>
    <mergeCell ref="H66:H67"/>
    <mergeCell ref="A68:A69"/>
    <mergeCell ref="B68:C68"/>
    <mergeCell ref="D68:D69"/>
    <mergeCell ref="E68:E69"/>
    <mergeCell ref="F68:F69"/>
    <mergeCell ref="G68:G69"/>
    <mergeCell ref="H68:H69"/>
    <mergeCell ref="B69:C69"/>
    <mergeCell ref="B70:C70"/>
    <mergeCell ref="A71:A72"/>
    <mergeCell ref="B71:C71"/>
    <mergeCell ref="D71:D72"/>
    <mergeCell ref="E71:E72"/>
    <mergeCell ref="F71:F72"/>
    <mergeCell ref="G71:G72"/>
    <mergeCell ref="H71:H72"/>
    <mergeCell ref="B72:C72"/>
    <mergeCell ref="A73:A74"/>
    <mergeCell ref="C73:C74"/>
    <mergeCell ref="D73:D74"/>
    <mergeCell ref="E73:E74"/>
    <mergeCell ref="F73:F74"/>
    <mergeCell ref="G73:G74"/>
    <mergeCell ref="H73:H74"/>
    <mergeCell ref="A75:A76"/>
    <mergeCell ref="C75:C76"/>
    <mergeCell ref="D75:D76"/>
    <mergeCell ref="E75:E76"/>
    <mergeCell ref="F75:F76"/>
    <mergeCell ref="G75:G76"/>
    <mergeCell ref="H75:H76"/>
    <mergeCell ref="B77:C77"/>
    <mergeCell ref="A78:A79"/>
    <mergeCell ref="B78:C78"/>
    <mergeCell ref="D78:D79"/>
    <mergeCell ref="E78:E79"/>
    <mergeCell ref="F78:F79"/>
    <mergeCell ref="G78:G79"/>
    <mergeCell ref="H78:H79"/>
    <mergeCell ref="B79:C79"/>
    <mergeCell ref="A80:A81"/>
    <mergeCell ref="C80:C81"/>
    <mergeCell ref="D80:D81"/>
    <mergeCell ref="E80:E81"/>
    <mergeCell ref="F80:F81"/>
    <mergeCell ref="G80:G81"/>
    <mergeCell ref="H80:H81"/>
    <mergeCell ref="A82:A83"/>
    <mergeCell ref="B82:C82"/>
    <mergeCell ref="D82:D83"/>
    <mergeCell ref="E82:E83"/>
    <mergeCell ref="F82:F83"/>
    <mergeCell ref="G82:G83"/>
    <mergeCell ref="H82:H83"/>
    <mergeCell ref="B83:C83"/>
    <mergeCell ref="A84:A85"/>
    <mergeCell ref="C84:C85"/>
    <mergeCell ref="D84:D85"/>
    <mergeCell ref="E84:E85"/>
    <mergeCell ref="F84:F85"/>
    <mergeCell ref="G84:G85"/>
    <mergeCell ref="H84:H85"/>
    <mergeCell ref="A86:A87"/>
    <mergeCell ref="C86:C87"/>
    <mergeCell ref="D86:D87"/>
    <mergeCell ref="E86:E87"/>
    <mergeCell ref="F86:F87"/>
    <mergeCell ref="G86:G87"/>
    <mergeCell ref="H86:H87"/>
    <mergeCell ref="B88:C88"/>
    <mergeCell ref="A89:A90"/>
    <mergeCell ref="C89:C90"/>
    <mergeCell ref="D89:D90"/>
    <mergeCell ref="E89:E90"/>
    <mergeCell ref="F89:F90"/>
    <mergeCell ref="G89:G90"/>
    <mergeCell ref="H89:H90"/>
    <mergeCell ref="A91:A92"/>
    <mergeCell ref="C91:C92"/>
    <mergeCell ref="D91:D92"/>
    <mergeCell ref="E91:E92"/>
    <mergeCell ref="F91:F92"/>
    <mergeCell ref="G91:G92"/>
    <mergeCell ref="H91:H92"/>
    <mergeCell ref="A93:A94"/>
    <mergeCell ref="C93:C94"/>
    <mergeCell ref="D93:D94"/>
    <mergeCell ref="E93:E94"/>
    <mergeCell ref="F93:F94"/>
    <mergeCell ref="G93:G94"/>
    <mergeCell ref="H93:H94"/>
    <mergeCell ref="B95:C95"/>
    <mergeCell ref="A96:A97"/>
    <mergeCell ref="B96:C96"/>
    <mergeCell ref="D96:D97"/>
    <mergeCell ref="E96:E97"/>
    <mergeCell ref="F96:F97"/>
    <mergeCell ref="G96:G97"/>
    <mergeCell ref="H96:H97"/>
    <mergeCell ref="B97:C97"/>
    <mergeCell ref="B98:C98"/>
    <mergeCell ref="B99:C99"/>
    <mergeCell ref="A100:A101"/>
    <mergeCell ref="C100:C101"/>
    <mergeCell ref="D100:D101"/>
    <mergeCell ref="E100:E101"/>
    <mergeCell ref="F100:F101"/>
    <mergeCell ref="G100:G101"/>
    <mergeCell ref="H100:H101"/>
    <mergeCell ref="B102:C102"/>
    <mergeCell ref="A103:A104"/>
    <mergeCell ref="C103:C104"/>
    <mergeCell ref="D103:D104"/>
    <mergeCell ref="E103:E104"/>
    <mergeCell ref="F103:F104"/>
    <mergeCell ref="G103:G104"/>
    <mergeCell ref="H103:H104"/>
    <mergeCell ref="A105:A106"/>
    <mergeCell ref="C105:C106"/>
    <mergeCell ref="D105:D106"/>
    <mergeCell ref="E105:E106"/>
    <mergeCell ref="F105:F106"/>
    <mergeCell ref="G105:G106"/>
    <mergeCell ref="H105:H106"/>
    <mergeCell ref="A108:F108"/>
    <mergeCell ref="A109:F109"/>
  </mergeCells>
  <dataValidations count="2">
    <dataValidation allowBlank="true" errorStyle="stop" operator="between" showDropDown="false" showErrorMessage="true" showInputMessage="true" sqref="B5:F5" type="list">
      <formula1>'[3]validação de dados'!#ref!</formula1>
      <formula2>0</formula2>
    </dataValidation>
    <dataValidation allowBlank="true" errorStyle="stop" operator="between" showDropDown="false" showErrorMessage="true" showInputMessage="true" sqref="A112:A127" type="list">
      <formula1>'[3]validação de dados'!#ref!</formula1>
      <formula2>0</formula2>
    </dataValidation>
  </dataValidations>
  <printOptions headings="false" gridLines="false" gridLinesSet="true" horizontalCentered="true" verticalCentered="false"/>
  <pageMargins left="0" right="0" top="0" bottom="0" header="0.511805555555555" footer="0.511805555555555"/>
  <pageSetup paperSize="9" scale="4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AE83"/>
  <sheetViews>
    <sheetView showFormulas="false" showGridLines="false" showRowColHeaders="true" showZeros="true" rightToLeft="false" tabSelected="true" showOutlineSymbols="true" defaultGridColor="true" view="normal" topLeftCell="C1" colorId="64" zoomScale="60" zoomScaleNormal="60" zoomScalePageLayoutView="100" workbookViewId="0">
      <selection pane="topLeft" activeCell="J82" activeCellId="0" sqref="J82"/>
    </sheetView>
  </sheetViews>
  <sheetFormatPr defaultColWidth="9.19140625" defaultRowHeight="26" zeroHeight="false" outlineLevelRow="0" outlineLevelCol="0"/>
  <cols>
    <col collapsed="false" customWidth="true" hidden="false" outlineLevel="0" max="1" min="1" style="14" width="29.82"/>
    <col collapsed="false" customWidth="true" hidden="false" outlineLevel="0" max="2" min="2" style="14" width="8.27"/>
    <col collapsed="false" customWidth="true" hidden="false" outlineLevel="0" max="3" min="3" style="14" width="41.72"/>
    <col collapsed="false" customWidth="true" hidden="false" outlineLevel="0" max="4" min="4" style="14" width="46.55"/>
    <col collapsed="false" customWidth="true" hidden="false" outlineLevel="0" max="5" min="5" style="14" width="55.82"/>
    <col collapsed="false" customWidth="true" hidden="true" outlineLevel="0" max="6" min="6" style="14" width="0.27"/>
    <col collapsed="false" customWidth="true" hidden="false" outlineLevel="0" max="7" min="7" style="14" width="41.45"/>
    <col collapsed="false" customWidth="true" hidden="false" outlineLevel="0" max="8" min="8" style="87" width="19.99"/>
    <col collapsed="false" customWidth="true" hidden="false" outlineLevel="0" max="9" min="9" style="14" width="19.99"/>
    <col collapsed="false" customWidth="true" hidden="false" outlineLevel="0" max="10" min="10" style="14" width="19.46"/>
    <col collapsed="false" customWidth="true" hidden="false" outlineLevel="0" max="11" min="11" style="14" width="22.17"/>
    <col collapsed="false" customWidth="true" hidden="false" outlineLevel="0" max="12" min="12" style="14" width="23.45"/>
    <col collapsed="false" customWidth="true" hidden="false" outlineLevel="0" max="13" min="13" style="14" width="11.82"/>
    <col collapsed="false" customWidth="false" hidden="false" outlineLevel="0" max="14" min="14" style="14" width="9.18"/>
    <col collapsed="false" customWidth="true" hidden="false" outlineLevel="0" max="15" min="15" style="23" width="23.18"/>
    <col collapsed="false" customWidth="false" hidden="false" outlineLevel="0" max="31" min="16" style="14" width="9.18"/>
    <col collapsed="false" customWidth="false" hidden="false" outlineLevel="0" max="1024" min="32" style="88" width="9.18"/>
  </cols>
  <sheetData>
    <row r="1" customFormat="false" ht="51.75" hidden="false" customHeight="true" outlineLevel="0" collapsed="false">
      <c r="A1" s="89" t="s">
        <v>162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="94" customFormat="true" ht="26" hidden="false" customHeight="false" outlineLevel="0" collapsed="false">
      <c r="A2" s="91" t="str">
        <f aca="false">'indicadores e metas'!A2:F2</f>
        <v>CAU/PR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43"/>
      <c r="M2" s="92"/>
      <c r="N2" s="92"/>
      <c r="O2" s="93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="94" customFormat="true" ht="26" hidden="false" customHeight="true" outlineLevel="0" collapsed="false">
      <c r="A3" s="91" t="s">
        <v>163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43"/>
      <c r="M3" s="92"/>
      <c r="N3" s="92"/>
      <c r="O3" s="93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="97" customFormat="true" ht="26" hidden="false" customHeight="false" outlineLevel="0" collapsed="false">
      <c r="A4" s="95"/>
      <c r="B4" s="95"/>
      <c r="C4" s="95"/>
      <c r="D4" s="95"/>
      <c r="E4" s="95"/>
      <c r="F4" s="95"/>
      <c r="G4" s="95"/>
      <c r="H4" s="96"/>
      <c r="I4" s="95"/>
      <c r="J4" s="95"/>
      <c r="K4" s="95"/>
      <c r="L4" s="95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="94" customFormat="true" ht="26" hidden="false" customHeight="true" outlineLevel="0" collapsed="false">
      <c r="A5" s="98" t="s">
        <v>164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9" t="s">
        <v>165</v>
      </c>
      <c r="M5" s="92"/>
      <c r="N5" s="92"/>
      <c r="O5" s="93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</row>
    <row r="6" s="94" customFormat="true" ht="26.25" hidden="false" customHeight="true" outlineLevel="0" collapsed="false">
      <c r="A6" s="100" t="s">
        <v>166</v>
      </c>
      <c r="B6" s="101" t="s">
        <v>167</v>
      </c>
      <c r="C6" s="101" t="s">
        <v>168</v>
      </c>
      <c r="D6" s="101" t="s">
        <v>169</v>
      </c>
      <c r="E6" s="101" t="s">
        <v>170</v>
      </c>
      <c r="F6" s="101" t="s">
        <v>171</v>
      </c>
      <c r="G6" s="102" t="s">
        <v>172</v>
      </c>
      <c r="H6" s="103" t="s">
        <v>173</v>
      </c>
      <c r="I6" s="102" t="s">
        <v>174</v>
      </c>
      <c r="J6" s="102" t="s">
        <v>175</v>
      </c>
      <c r="K6" s="102"/>
      <c r="L6" s="99"/>
      <c r="M6" s="92"/>
      <c r="N6" s="92"/>
      <c r="O6" s="93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</row>
    <row r="7" s="94" customFormat="true" ht="48.75" hidden="false" customHeight="true" outlineLevel="0" collapsed="false">
      <c r="A7" s="100"/>
      <c r="B7" s="101"/>
      <c r="C7" s="101"/>
      <c r="D7" s="101"/>
      <c r="E7" s="101"/>
      <c r="F7" s="101"/>
      <c r="G7" s="102"/>
      <c r="H7" s="103"/>
      <c r="I7" s="102"/>
      <c r="J7" s="102" t="s">
        <v>176</v>
      </c>
      <c r="K7" s="102" t="s">
        <v>177</v>
      </c>
      <c r="L7" s="99"/>
      <c r="M7" s="104" t="s">
        <v>178</v>
      </c>
      <c r="N7" s="92"/>
      <c r="O7" s="105" t="s">
        <v>179</v>
      </c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</row>
    <row r="8" s="94" customFormat="true" ht="46.5" hidden="false" customHeight="false" outlineLevel="0" collapsed="false">
      <c r="A8" s="106" t="s">
        <v>180</v>
      </c>
      <c r="B8" s="66" t="s">
        <v>181</v>
      </c>
      <c r="C8" s="107" t="s">
        <v>182</v>
      </c>
      <c r="D8" s="107" t="s">
        <v>183</v>
      </c>
      <c r="E8" s="107" t="s">
        <v>134</v>
      </c>
      <c r="F8" s="107"/>
      <c r="G8" s="107" t="s">
        <v>184</v>
      </c>
      <c r="H8" s="108" t="n">
        <v>222797.85</v>
      </c>
      <c r="I8" s="109" t="n">
        <v>546293.08</v>
      </c>
      <c r="J8" s="110" t="n">
        <f aca="false">I8-H8</f>
        <v>323495.23</v>
      </c>
      <c r="K8" s="111" t="n">
        <f aca="false">IFERROR(J8/H8*100,)</f>
        <v>145.196746737008</v>
      </c>
      <c r="L8" s="112" t="n">
        <v>0</v>
      </c>
      <c r="M8" s="113" t="n">
        <v>1</v>
      </c>
      <c r="N8" s="92"/>
      <c r="O8" s="114" t="n">
        <f aca="false">I8-H8</f>
        <v>323495.23</v>
      </c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</row>
    <row r="9" s="94" customFormat="true" ht="113.15" hidden="false" customHeight="true" outlineLevel="0" collapsed="false">
      <c r="A9" s="106" t="s">
        <v>185</v>
      </c>
      <c r="B9" s="66" t="s">
        <v>181</v>
      </c>
      <c r="C9" s="107" t="s">
        <v>186</v>
      </c>
      <c r="D9" s="107" t="s">
        <v>187</v>
      </c>
      <c r="E9" s="107" t="s">
        <v>188</v>
      </c>
      <c r="F9" s="107"/>
      <c r="G9" s="107" t="s">
        <v>189</v>
      </c>
      <c r="H9" s="108" t="n">
        <v>17833.28</v>
      </c>
      <c r="I9" s="109" t="n">
        <v>42361.25</v>
      </c>
      <c r="J9" s="110" t="n">
        <f aca="false">I9-H9</f>
        <v>24527.97</v>
      </c>
      <c r="K9" s="111" t="n">
        <f aca="false">IFERROR(J9/H9*100,)</f>
        <v>137.540430027454</v>
      </c>
      <c r="L9" s="115" t="n">
        <v>0</v>
      </c>
      <c r="M9" s="113" t="n">
        <v>2</v>
      </c>
      <c r="N9" s="92"/>
      <c r="O9" s="114" t="n">
        <f aca="false">I9-H9</f>
        <v>24527.97</v>
      </c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</row>
    <row r="10" s="94" customFormat="true" ht="104.15" hidden="false" customHeight="true" outlineLevel="0" collapsed="false">
      <c r="A10" s="106" t="s">
        <v>190</v>
      </c>
      <c r="B10" s="66" t="s">
        <v>181</v>
      </c>
      <c r="C10" s="107" t="s">
        <v>191</v>
      </c>
      <c r="D10" s="107" t="s">
        <v>192</v>
      </c>
      <c r="E10" s="107" t="s">
        <v>98</v>
      </c>
      <c r="F10" s="107"/>
      <c r="G10" s="107" t="s">
        <v>193</v>
      </c>
      <c r="H10" s="108" t="n">
        <v>38374.63</v>
      </c>
      <c r="I10" s="109" t="n">
        <v>48877.25</v>
      </c>
      <c r="J10" s="110" t="n">
        <f aca="false">I10-H10</f>
        <v>10502.62</v>
      </c>
      <c r="K10" s="111" t="n">
        <f aca="false">IFERROR(J10/H10*100,)</f>
        <v>27.368654759668</v>
      </c>
      <c r="L10" s="115" t="n">
        <v>0</v>
      </c>
      <c r="M10" s="113" t="n">
        <v>3</v>
      </c>
      <c r="N10" s="92"/>
      <c r="O10" s="114" t="n">
        <f aca="false">I10-H10</f>
        <v>10502.62</v>
      </c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</row>
    <row r="11" s="94" customFormat="true" ht="104.5" hidden="false" customHeight="true" outlineLevel="0" collapsed="false">
      <c r="A11" s="106" t="s">
        <v>194</v>
      </c>
      <c r="B11" s="66" t="s">
        <v>181</v>
      </c>
      <c r="C11" s="107" t="s">
        <v>195</v>
      </c>
      <c r="D11" s="107" t="s">
        <v>196</v>
      </c>
      <c r="E11" s="107" t="s">
        <v>21</v>
      </c>
      <c r="F11" s="107"/>
      <c r="G11" s="107" t="s">
        <v>197</v>
      </c>
      <c r="H11" s="108" t="n">
        <v>15057.81</v>
      </c>
      <c r="I11" s="109" t="n">
        <v>42361.25</v>
      </c>
      <c r="J11" s="110" t="n">
        <f aca="false">I11-H11</f>
        <v>27303.44</v>
      </c>
      <c r="K11" s="111" t="n">
        <f aca="false">IFERROR(J11/H11*100,)</f>
        <v>181.324110212574</v>
      </c>
      <c r="L11" s="112" t="n">
        <v>0</v>
      </c>
      <c r="M11" s="113" t="n">
        <v>4</v>
      </c>
      <c r="N11" s="92"/>
      <c r="O11" s="114" t="n">
        <f aca="false">I11-H11</f>
        <v>27303.44</v>
      </c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</row>
    <row r="12" s="94" customFormat="true" ht="108.5" hidden="false" customHeight="false" outlineLevel="0" collapsed="false">
      <c r="A12" s="106" t="s">
        <v>198</v>
      </c>
      <c r="B12" s="66" t="s">
        <v>181</v>
      </c>
      <c r="C12" s="107" t="s">
        <v>199</v>
      </c>
      <c r="D12" s="107" t="s">
        <v>200</v>
      </c>
      <c r="E12" s="107" t="s">
        <v>147</v>
      </c>
      <c r="F12" s="107"/>
      <c r="G12" s="107" t="s">
        <v>201</v>
      </c>
      <c r="H12" s="108" t="n">
        <v>15469.53</v>
      </c>
      <c r="I12" s="109" t="n">
        <v>35845.25</v>
      </c>
      <c r="J12" s="110" t="n">
        <f aca="false">I12-H12</f>
        <v>20375.72</v>
      </c>
      <c r="K12" s="111" t="n">
        <f aca="false">IFERROR(J12/H12*100,)</f>
        <v>131.715184624226</v>
      </c>
      <c r="L12" s="115" t="n">
        <v>0</v>
      </c>
      <c r="M12" s="113" t="n">
        <v>5</v>
      </c>
      <c r="N12" s="92"/>
      <c r="O12" s="114" t="n">
        <f aca="false">I12-H12</f>
        <v>20375.72</v>
      </c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</row>
    <row r="13" s="94" customFormat="true" ht="93" hidden="false" customHeight="false" outlineLevel="0" collapsed="false">
      <c r="A13" s="106" t="s">
        <v>202</v>
      </c>
      <c r="B13" s="66" t="s">
        <v>181</v>
      </c>
      <c r="C13" s="107" t="s">
        <v>203</v>
      </c>
      <c r="D13" s="107" t="s">
        <v>204</v>
      </c>
      <c r="E13" s="107" t="s">
        <v>117</v>
      </c>
      <c r="F13" s="107"/>
      <c r="G13" s="107" t="s">
        <v>205</v>
      </c>
      <c r="H13" s="108" t="n">
        <v>23608.44</v>
      </c>
      <c r="I13" s="109" t="n">
        <v>26064</v>
      </c>
      <c r="J13" s="110" t="n">
        <f aca="false">I13-H13</f>
        <v>2455.56</v>
      </c>
      <c r="K13" s="111" t="n">
        <f aca="false">IFERROR(J13/H13*100,)</f>
        <v>10.4011955046585</v>
      </c>
      <c r="L13" s="115" t="n">
        <v>0</v>
      </c>
      <c r="M13" s="113" t="n">
        <v>6</v>
      </c>
      <c r="N13" s="92"/>
      <c r="O13" s="114" t="n">
        <f aca="false">I13-H13</f>
        <v>2455.56</v>
      </c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</row>
    <row r="14" s="94" customFormat="true" ht="46.5" hidden="false" customHeight="false" outlineLevel="0" collapsed="false">
      <c r="A14" s="106" t="s">
        <v>180</v>
      </c>
      <c r="B14" s="66" t="s">
        <v>181</v>
      </c>
      <c r="C14" s="107" t="s">
        <v>206</v>
      </c>
      <c r="D14" s="107" t="s">
        <v>207</v>
      </c>
      <c r="E14" s="107" t="s">
        <v>134</v>
      </c>
      <c r="F14" s="107"/>
      <c r="G14" s="107" t="s">
        <v>208</v>
      </c>
      <c r="H14" s="108" t="n">
        <v>500</v>
      </c>
      <c r="I14" s="109" t="n">
        <v>500</v>
      </c>
      <c r="J14" s="110" t="n">
        <f aca="false">I14-H14</f>
        <v>0</v>
      </c>
      <c r="K14" s="111" t="n">
        <f aca="false">IFERROR(J14/H14*100,)</f>
        <v>0</v>
      </c>
      <c r="L14" s="115" t="n">
        <v>0</v>
      </c>
      <c r="M14" s="113" t="n">
        <v>7</v>
      </c>
      <c r="N14" s="92"/>
      <c r="O14" s="114" t="n">
        <f aca="false">I14-H14</f>
        <v>0</v>
      </c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</row>
    <row r="15" s="94" customFormat="true" ht="46.5" hidden="false" customHeight="false" outlineLevel="0" collapsed="false">
      <c r="A15" s="106" t="s">
        <v>180</v>
      </c>
      <c r="B15" s="66" t="s">
        <v>181</v>
      </c>
      <c r="C15" s="107" t="s">
        <v>209</v>
      </c>
      <c r="D15" s="107" t="s">
        <v>210</v>
      </c>
      <c r="E15" s="107" t="s">
        <v>211</v>
      </c>
      <c r="F15" s="107"/>
      <c r="G15" s="107" t="s">
        <v>212</v>
      </c>
      <c r="H15" s="108" t="n">
        <v>500</v>
      </c>
      <c r="I15" s="109" t="n">
        <v>500</v>
      </c>
      <c r="J15" s="110" t="n">
        <f aca="false">I15-H15</f>
        <v>0</v>
      </c>
      <c r="K15" s="111" t="n">
        <f aca="false">IFERROR(J15/H15*100,)</f>
        <v>0</v>
      </c>
      <c r="L15" s="112" t="n">
        <v>0</v>
      </c>
      <c r="M15" s="113" t="n">
        <v>8</v>
      </c>
      <c r="N15" s="92"/>
      <c r="O15" s="114" t="n">
        <f aca="false">I15-H15</f>
        <v>0</v>
      </c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</row>
    <row r="16" s="94" customFormat="true" ht="46.5" hidden="false" customHeight="false" outlineLevel="0" collapsed="false">
      <c r="A16" s="106" t="s">
        <v>180</v>
      </c>
      <c r="B16" s="66" t="s">
        <v>181</v>
      </c>
      <c r="C16" s="107" t="s">
        <v>213</v>
      </c>
      <c r="D16" s="107" t="s">
        <v>214</v>
      </c>
      <c r="E16" s="107" t="s">
        <v>147</v>
      </c>
      <c r="F16" s="107"/>
      <c r="G16" s="107" t="s">
        <v>215</v>
      </c>
      <c r="H16" s="108" t="n">
        <v>500</v>
      </c>
      <c r="I16" s="109" t="n">
        <v>50760</v>
      </c>
      <c r="J16" s="110" t="n">
        <f aca="false">I16-H16</f>
        <v>50260</v>
      </c>
      <c r="K16" s="111" t="n">
        <f aca="false">IFERROR(J16/H16*100,)</f>
        <v>10052</v>
      </c>
      <c r="L16" s="115" t="n">
        <v>0</v>
      </c>
      <c r="M16" s="113" t="n">
        <v>9</v>
      </c>
      <c r="N16" s="92"/>
      <c r="O16" s="114" t="n">
        <f aca="false">I16-H16</f>
        <v>50260</v>
      </c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</row>
    <row r="17" s="94" customFormat="true" ht="31" hidden="false" customHeight="false" outlineLevel="0" collapsed="false">
      <c r="A17" s="106" t="s">
        <v>180</v>
      </c>
      <c r="B17" s="66" t="s">
        <v>181</v>
      </c>
      <c r="C17" s="107" t="s">
        <v>216</v>
      </c>
      <c r="D17" s="107" t="s">
        <v>217</v>
      </c>
      <c r="E17" s="107" t="s">
        <v>134</v>
      </c>
      <c r="F17" s="107"/>
      <c r="G17" s="107" t="s">
        <v>218</v>
      </c>
      <c r="H17" s="108" t="n">
        <v>1121981.94</v>
      </c>
      <c r="I17" s="109" t="n">
        <v>1034084.09</v>
      </c>
      <c r="J17" s="110" t="n">
        <f aca="false">I17-H17</f>
        <v>-87897.85</v>
      </c>
      <c r="K17" s="111" t="n">
        <f aca="false">IFERROR(J17/H17*100,)</f>
        <v>-7.83415907746251</v>
      </c>
      <c r="L17" s="115" t="n">
        <v>0</v>
      </c>
      <c r="M17" s="113" t="n">
        <v>10</v>
      </c>
      <c r="N17" s="92"/>
      <c r="O17" s="114" t="n">
        <f aca="false">I17-H17</f>
        <v>-87897.85</v>
      </c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</row>
    <row r="18" s="94" customFormat="true" ht="64.5" hidden="false" customHeight="true" outlineLevel="0" collapsed="false">
      <c r="A18" s="106" t="s">
        <v>219</v>
      </c>
      <c r="B18" s="66" t="s">
        <v>181</v>
      </c>
      <c r="C18" s="107" t="s">
        <v>220</v>
      </c>
      <c r="D18" s="107" t="s">
        <v>221</v>
      </c>
      <c r="E18" s="107" t="s">
        <v>21</v>
      </c>
      <c r="F18" s="107"/>
      <c r="G18" s="107" t="s">
        <v>222</v>
      </c>
      <c r="H18" s="108" t="n">
        <v>973910.62</v>
      </c>
      <c r="I18" s="109" t="n">
        <v>1290747.48</v>
      </c>
      <c r="J18" s="110" t="n">
        <f aca="false">I18-H18</f>
        <v>316836.86</v>
      </c>
      <c r="K18" s="111" t="n">
        <f aca="false">IFERROR(J18/H18*100,)</f>
        <v>32.5324371141984</v>
      </c>
      <c r="L18" s="115" t="n">
        <v>0</v>
      </c>
      <c r="M18" s="113" t="n">
        <v>11</v>
      </c>
      <c r="N18" s="92"/>
      <c r="O18" s="114" t="n">
        <f aca="false">I18-H18</f>
        <v>316836.86</v>
      </c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</row>
    <row r="19" s="94" customFormat="true" ht="64.5" hidden="false" customHeight="true" outlineLevel="0" collapsed="false">
      <c r="A19" s="106" t="s">
        <v>219</v>
      </c>
      <c r="B19" s="66" t="s">
        <v>181</v>
      </c>
      <c r="C19" s="107" t="s">
        <v>223</v>
      </c>
      <c r="D19" s="107" t="s">
        <v>224</v>
      </c>
      <c r="E19" s="107" t="s">
        <v>21</v>
      </c>
      <c r="F19" s="107"/>
      <c r="G19" s="107" t="s">
        <v>225</v>
      </c>
      <c r="H19" s="108" t="n">
        <v>0</v>
      </c>
      <c r="I19" s="109" t="n">
        <v>1132934.07</v>
      </c>
      <c r="J19" s="110" t="n">
        <f aca="false">I19-H19</f>
        <v>1132934.07</v>
      </c>
      <c r="K19" s="111" t="n">
        <f aca="false">IFERROR(J19/H19*100,)</f>
        <v>0</v>
      </c>
      <c r="L19" s="115" t="n">
        <v>0</v>
      </c>
      <c r="M19" s="113" t="n">
        <v>12</v>
      </c>
      <c r="N19" s="92"/>
      <c r="O19" s="114" t="n">
        <f aca="false">I19-H19</f>
        <v>1132934.07</v>
      </c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</row>
    <row r="20" s="94" customFormat="true" ht="64.5" hidden="false" customHeight="true" outlineLevel="0" collapsed="false">
      <c r="A20" s="106" t="s">
        <v>219</v>
      </c>
      <c r="B20" s="66" t="s">
        <v>181</v>
      </c>
      <c r="C20" s="107" t="s">
        <v>226</v>
      </c>
      <c r="D20" s="107" t="s">
        <v>227</v>
      </c>
      <c r="E20" s="107" t="s">
        <v>21</v>
      </c>
      <c r="F20" s="107"/>
      <c r="G20" s="107" t="s">
        <v>228</v>
      </c>
      <c r="H20" s="108" t="n">
        <v>248840.93</v>
      </c>
      <c r="I20" s="109" t="n">
        <v>0</v>
      </c>
      <c r="J20" s="110" t="n">
        <f aca="false">I20-H20</f>
        <v>-248840.93</v>
      </c>
      <c r="K20" s="111" t="n">
        <f aca="false">IFERROR(J20/H20*100,)</f>
        <v>-100</v>
      </c>
      <c r="L20" s="115" t="n">
        <v>0</v>
      </c>
      <c r="M20" s="113" t="n">
        <v>13</v>
      </c>
      <c r="N20" s="92"/>
      <c r="O20" s="114" t="n">
        <f aca="false">I20-H20</f>
        <v>-248840.93</v>
      </c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</row>
    <row r="21" s="94" customFormat="true" ht="64.5" hidden="false" customHeight="true" outlineLevel="0" collapsed="false">
      <c r="A21" s="106" t="s">
        <v>219</v>
      </c>
      <c r="B21" s="66" t="s">
        <v>181</v>
      </c>
      <c r="C21" s="107" t="s">
        <v>229</v>
      </c>
      <c r="D21" s="107" t="s">
        <v>230</v>
      </c>
      <c r="E21" s="107" t="s">
        <v>21</v>
      </c>
      <c r="F21" s="107"/>
      <c r="G21" s="107" t="s">
        <v>231</v>
      </c>
      <c r="H21" s="108" t="n">
        <v>245506.19</v>
      </c>
      <c r="I21" s="109" t="n">
        <v>0</v>
      </c>
      <c r="J21" s="110" t="n">
        <f aca="false">I21-H21</f>
        <v>-245506.19</v>
      </c>
      <c r="K21" s="111" t="n">
        <f aca="false">IFERROR(J21/H21*100,)</f>
        <v>-100</v>
      </c>
      <c r="L21" s="115" t="n">
        <v>0</v>
      </c>
      <c r="M21" s="113" t="n">
        <v>14</v>
      </c>
      <c r="N21" s="92"/>
      <c r="O21" s="114" t="n">
        <f aca="false">I21-H21</f>
        <v>-245506.19</v>
      </c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</row>
    <row r="22" s="94" customFormat="true" ht="64.5" hidden="false" customHeight="true" outlineLevel="0" collapsed="false">
      <c r="A22" s="106" t="s">
        <v>219</v>
      </c>
      <c r="B22" s="66" t="s">
        <v>181</v>
      </c>
      <c r="C22" s="107" t="s">
        <v>232</v>
      </c>
      <c r="D22" s="107" t="s">
        <v>233</v>
      </c>
      <c r="E22" s="107" t="s">
        <v>21</v>
      </c>
      <c r="F22" s="107"/>
      <c r="G22" s="107" t="s">
        <v>234</v>
      </c>
      <c r="H22" s="108" t="n">
        <v>255089.47</v>
      </c>
      <c r="I22" s="109" t="n">
        <v>0</v>
      </c>
      <c r="J22" s="110" t="n">
        <f aca="false">I22-H22</f>
        <v>-255089.47</v>
      </c>
      <c r="K22" s="111" t="n">
        <f aca="false">IFERROR(J22/H22*100,)</f>
        <v>-100</v>
      </c>
      <c r="L22" s="115" t="n">
        <v>0</v>
      </c>
      <c r="M22" s="113" t="n">
        <v>15</v>
      </c>
      <c r="N22" s="92"/>
      <c r="O22" s="114" t="n">
        <f aca="false">I22-H22</f>
        <v>-255089.47</v>
      </c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</row>
    <row r="23" s="94" customFormat="true" ht="64.5" hidden="false" customHeight="true" outlineLevel="0" collapsed="false">
      <c r="A23" s="106" t="s">
        <v>219</v>
      </c>
      <c r="B23" s="66" t="s">
        <v>181</v>
      </c>
      <c r="C23" s="107" t="s">
        <v>235</v>
      </c>
      <c r="D23" s="107" t="s">
        <v>236</v>
      </c>
      <c r="E23" s="107" t="s">
        <v>21</v>
      </c>
      <c r="F23" s="107"/>
      <c r="G23" s="107" t="s">
        <v>237</v>
      </c>
      <c r="H23" s="108" t="n">
        <v>240068.34</v>
      </c>
      <c r="I23" s="109" t="n">
        <v>0</v>
      </c>
      <c r="J23" s="110" t="n">
        <f aca="false">I23-H23</f>
        <v>-240068.34</v>
      </c>
      <c r="K23" s="111" t="n">
        <f aca="false">IFERROR(J23/H23*100,)</f>
        <v>-100</v>
      </c>
      <c r="L23" s="115" t="n">
        <v>0</v>
      </c>
      <c r="M23" s="113" t="n">
        <v>16</v>
      </c>
      <c r="N23" s="92"/>
      <c r="O23" s="114" t="n">
        <f aca="false">I23-H23</f>
        <v>-240068.34</v>
      </c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</row>
    <row r="24" s="94" customFormat="true" ht="64.5" hidden="false" customHeight="true" outlineLevel="0" collapsed="false">
      <c r="A24" s="106" t="s">
        <v>219</v>
      </c>
      <c r="B24" s="66" t="s">
        <v>181</v>
      </c>
      <c r="C24" s="107" t="s">
        <v>238</v>
      </c>
      <c r="D24" s="107" t="s">
        <v>239</v>
      </c>
      <c r="E24" s="107" t="s">
        <v>21</v>
      </c>
      <c r="F24" s="107"/>
      <c r="G24" s="107" t="s">
        <v>240</v>
      </c>
      <c r="H24" s="108" t="n">
        <v>238305.22</v>
      </c>
      <c r="I24" s="109" t="n">
        <v>0</v>
      </c>
      <c r="J24" s="110" t="n">
        <f aca="false">I24-H24</f>
        <v>-238305.22</v>
      </c>
      <c r="K24" s="111" t="n">
        <f aca="false">IFERROR(J24/H24*100,)</f>
        <v>-100</v>
      </c>
      <c r="L24" s="115" t="n">
        <v>0</v>
      </c>
      <c r="M24" s="113" t="n">
        <v>17</v>
      </c>
      <c r="N24" s="92"/>
      <c r="O24" s="114" t="n">
        <f aca="false">I24-H24</f>
        <v>-238305.22</v>
      </c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</row>
    <row r="25" s="94" customFormat="true" ht="64.5" hidden="false" customHeight="true" outlineLevel="0" collapsed="false">
      <c r="A25" s="106" t="s">
        <v>219</v>
      </c>
      <c r="B25" s="66" t="s">
        <v>181</v>
      </c>
      <c r="C25" s="107" t="s">
        <v>241</v>
      </c>
      <c r="D25" s="107" t="s">
        <v>221</v>
      </c>
      <c r="E25" s="107" t="s">
        <v>21</v>
      </c>
      <c r="F25" s="107"/>
      <c r="G25" s="107" t="s">
        <v>242</v>
      </c>
      <c r="H25" s="108" t="n">
        <v>748274.1</v>
      </c>
      <c r="I25" s="109" t="n">
        <v>908324.56</v>
      </c>
      <c r="J25" s="110" t="n">
        <f aca="false">I25-H25</f>
        <v>160050.46</v>
      </c>
      <c r="K25" s="111" t="n">
        <f aca="false">IFERROR(J25/H25*100,)</f>
        <v>21.3892823498769</v>
      </c>
      <c r="L25" s="112" t="n">
        <v>0</v>
      </c>
      <c r="M25" s="113" t="n">
        <v>18</v>
      </c>
      <c r="N25" s="92"/>
      <c r="O25" s="114" t="n">
        <f aca="false">I25-H25</f>
        <v>160050.46</v>
      </c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</row>
    <row r="26" s="94" customFormat="true" ht="64.5" hidden="false" customHeight="true" outlineLevel="0" collapsed="false">
      <c r="A26" s="106" t="s">
        <v>243</v>
      </c>
      <c r="B26" s="66" t="s">
        <v>181</v>
      </c>
      <c r="C26" s="107" t="s">
        <v>244</v>
      </c>
      <c r="D26" s="107" t="s">
        <v>245</v>
      </c>
      <c r="E26" s="107" t="s">
        <v>246</v>
      </c>
      <c r="F26" s="107"/>
      <c r="G26" s="107" t="s">
        <v>247</v>
      </c>
      <c r="H26" s="108" t="n">
        <v>818823.36</v>
      </c>
      <c r="I26" s="109" t="n">
        <v>881499.22</v>
      </c>
      <c r="J26" s="110" t="n">
        <f aca="false">I26-H26</f>
        <v>62675.86</v>
      </c>
      <c r="K26" s="111" t="n">
        <f aca="false">IFERROR(J26/H26*100,)</f>
        <v>7.65438103768803</v>
      </c>
      <c r="L26" s="116" t="n">
        <v>20000</v>
      </c>
      <c r="M26" s="113" t="n">
        <v>19</v>
      </c>
      <c r="N26" s="92"/>
      <c r="O26" s="114" t="n">
        <f aca="false">I26-H26</f>
        <v>62675.86</v>
      </c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</row>
    <row r="27" s="94" customFormat="true" ht="63.75" hidden="false" customHeight="true" outlineLevel="0" collapsed="false">
      <c r="A27" s="106" t="s">
        <v>243</v>
      </c>
      <c r="B27" s="66" t="s">
        <v>181</v>
      </c>
      <c r="C27" s="107" t="s">
        <v>248</v>
      </c>
      <c r="D27" s="107" t="s">
        <v>249</v>
      </c>
      <c r="E27" s="107" t="s">
        <v>246</v>
      </c>
      <c r="F27" s="107"/>
      <c r="G27" s="107" t="s">
        <v>250</v>
      </c>
      <c r="H27" s="108" t="n">
        <v>0</v>
      </c>
      <c r="I27" s="109" t="n">
        <v>311520.73</v>
      </c>
      <c r="J27" s="110" t="n">
        <f aca="false">I27-H27</f>
        <v>311520.73</v>
      </c>
      <c r="K27" s="111" t="n">
        <f aca="false">IFERROR(J27/H27*100,)</f>
        <v>0</v>
      </c>
      <c r="L27" s="115" t="n">
        <v>0</v>
      </c>
      <c r="M27" s="113" t="n">
        <v>20</v>
      </c>
      <c r="N27" s="92"/>
      <c r="O27" s="114" t="n">
        <f aca="false">I27-H27</f>
        <v>311520.73</v>
      </c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="94" customFormat="true" ht="63.75" hidden="false" customHeight="true" outlineLevel="0" collapsed="false">
      <c r="A28" s="106" t="s">
        <v>243</v>
      </c>
      <c r="B28" s="66" t="s">
        <v>181</v>
      </c>
      <c r="C28" s="107" t="s">
        <v>251</v>
      </c>
      <c r="D28" s="107" t="s">
        <v>252</v>
      </c>
      <c r="E28" s="107" t="s">
        <v>246</v>
      </c>
      <c r="F28" s="107"/>
      <c r="G28" s="107" t="s">
        <v>253</v>
      </c>
      <c r="H28" s="108" t="n">
        <v>82724.05</v>
      </c>
      <c r="I28" s="109" t="n">
        <v>0</v>
      </c>
      <c r="J28" s="110" t="n">
        <f aca="false">I28-H28</f>
        <v>-82724.05</v>
      </c>
      <c r="K28" s="111" t="n">
        <f aca="false">IFERROR(J28/H28*100,)</f>
        <v>-100</v>
      </c>
      <c r="L28" s="115" t="n">
        <v>0</v>
      </c>
      <c r="M28" s="113" t="n">
        <v>21</v>
      </c>
      <c r="N28" s="92"/>
      <c r="O28" s="114" t="n">
        <f aca="false">I28-H28</f>
        <v>-82724.05</v>
      </c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</row>
    <row r="29" s="94" customFormat="true" ht="63.75" hidden="false" customHeight="true" outlineLevel="0" collapsed="false">
      <c r="A29" s="106" t="s">
        <v>243</v>
      </c>
      <c r="B29" s="66" t="s">
        <v>181</v>
      </c>
      <c r="C29" s="107" t="s">
        <v>254</v>
      </c>
      <c r="D29" s="107" t="s">
        <v>255</v>
      </c>
      <c r="E29" s="107" t="s">
        <v>246</v>
      </c>
      <c r="F29" s="107"/>
      <c r="G29" s="107" t="s">
        <v>253</v>
      </c>
      <c r="H29" s="108" t="n">
        <v>85668.92</v>
      </c>
      <c r="I29" s="109" t="n">
        <v>0</v>
      </c>
      <c r="J29" s="110" t="n">
        <f aca="false">I29-H29</f>
        <v>-85668.92</v>
      </c>
      <c r="K29" s="111" t="n">
        <f aca="false">IFERROR(J29/H29*100,)</f>
        <v>-100</v>
      </c>
      <c r="L29" s="115" t="n">
        <v>0</v>
      </c>
      <c r="M29" s="113" t="n">
        <v>22</v>
      </c>
      <c r="N29" s="92"/>
      <c r="O29" s="114" t="n">
        <f aca="false">I29-H29</f>
        <v>-85668.92</v>
      </c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</row>
    <row r="30" s="94" customFormat="true" ht="63.75" hidden="false" customHeight="true" outlineLevel="0" collapsed="false">
      <c r="A30" s="106" t="s">
        <v>243</v>
      </c>
      <c r="B30" s="66" t="s">
        <v>181</v>
      </c>
      <c r="C30" s="107" t="s">
        <v>256</v>
      </c>
      <c r="D30" s="107" t="s">
        <v>257</v>
      </c>
      <c r="E30" s="107" t="s">
        <v>246</v>
      </c>
      <c r="F30" s="107"/>
      <c r="G30" s="107" t="s">
        <v>253</v>
      </c>
      <c r="H30" s="108" t="n">
        <v>80260.39</v>
      </c>
      <c r="I30" s="109" t="n">
        <v>0</v>
      </c>
      <c r="J30" s="110" t="n">
        <f aca="false">I30-H30</f>
        <v>-80260.39</v>
      </c>
      <c r="K30" s="111" t="n">
        <f aca="false">IFERROR(J30/H30*100,)</f>
        <v>-100</v>
      </c>
      <c r="L30" s="115" t="n">
        <v>0</v>
      </c>
      <c r="M30" s="113" t="n">
        <v>23</v>
      </c>
      <c r="N30" s="92"/>
      <c r="O30" s="114" t="n">
        <f aca="false">I30-H30</f>
        <v>-80260.39</v>
      </c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</row>
    <row r="31" s="94" customFormat="true" ht="63.75" hidden="false" customHeight="true" outlineLevel="0" collapsed="false">
      <c r="A31" s="106" t="s">
        <v>243</v>
      </c>
      <c r="B31" s="66" t="s">
        <v>181</v>
      </c>
      <c r="C31" s="107" t="s">
        <v>258</v>
      </c>
      <c r="D31" s="107" t="s">
        <v>259</v>
      </c>
      <c r="E31" s="107" t="s">
        <v>246</v>
      </c>
      <c r="F31" s="107"/>
      <c r="G31" s="107" t="s">
        <v>253</v>
      </c>
      <c r="H31" s="108" t="n">
        <v>80904.17</v>
      </c>
      <c r="I31" s="109" t="n">
        <v>0</v>
      </c>
      <c r="J31" s="110" t="n">
        <f aca="false">I31-H31</f>
        <v>-80904.17</v>
      </c>
      <c r="K31" s="111" t="n">
        <f aca="false">IFERROR(J31/H31*100,)</f>
        <v>-100</v>
      </c>
      <c r="L31" s="115" t="n">
        <v>0</v>
      </c>
      <c r="M31" s="113" t="n">
        <v>24</v>
      </c>
      <c r="N31" s="92"/>
      <c r="O31" s="114" t="n">
        <f aca="false">I31-H31</f>
        <v>-80904.17</v>
      </c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</row>
    <row r="32" s="94" customFormat="true" ht="63.75" hidden="false" customHeight="true" outlineLevel="0" collapsed="false">
      <c r="A32" s="106" t="s">
        <v>243</v>
      </c>
      <c r="B32" s="66" t="s">
        <v>181</v>
      </c>
      <c r="C32" s="107" t="s">
        <v>260</v>
      </c>
      <c r="D32" s="107" t="s">
        <v>245</v>
      </c>
      <c r="E32" s="107" t="s">
        <v>246</v>
      </c>
      <c r="F32" s="107"/>
      <c r="G32" s="107" t="s">
        <v>261</v>
      </c>
      <c r="H32" s="108" t="n">
        <v>109666.18</v>
      </c>
      <c r="I32" s="109" t="n">
        <v>109891.24</v>
      </c>
      <c r="J32" s="110" t="n">
        <f aca="false">I32-H32</f>
        <v>225.059999999998</v>
      </c>
      <c r="K32" s="111" t="n">
        <f aca="false">IFERROR(J32/H32*100,)</f>
        <v>0.205222795213618</v>
      </c>
      <c r="L32" s="112" t="n">
        <v>0</v>
      </c>
      <c r="M32" s="113" t="n">
        <v>25</v>
      </c>
      <c r="N32" s="92"/>
      <c r="O32" s="114" t="n">
        <f aca="false">I32-H32</f>
        <v>225.059999999998</v>
      </c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</row>
    <row r="33" s="94" customFormat="true" ht="63.75" hidden="false" customHeight="true" outlineLevel="0" collapsed="false">
      <c r="A33" s="106" t="s">
        <v>262</v>
      </c>
      <c r="B33" s="66" t="s">
        <v>181</v>
      </c>
      <c r="C33" s="107" t="s">
        <v>263</v>
      </c>
      <c r="D33" s="107" t="s">
        <v>264</v>
      </c>
      <c r="E33" s="107" t="s">
        <v>153</v>
      </c>
      <c r="F33" s="107"/>
      <c r="G33" s="107" t="s">
        <v>265</v>
      </c>
      <c r="H33" s="108" t="n">
        <v>2118099.2</v>
      </c>
      <c r="I33" s="109" t="n">
        <v>2233543.54</v>
      </c>
      <c r="J33" s="110" t="n">
        <f aca="false">I33-H33</f>
        <v>115444.34</v>
      </c>
      <c r="K33" s="111" t="n">
        <f aca="false">IFERROR(J33/H33*100,)</f>
        <v>5.45037456224901</v>
      </c>
      <c r="L33" s="116" t="n">
        <v>90000</v>
      </c>
      <c r="M33" s="113" t="n">
        <v>26</v>
      </c>
      <c r="N33" s="92"/>
      <c r="O33" s="114" t="n">
        <f aca="false">I33-H33</f>
        <v>115444.34</v>
      </c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</row>
    <row r="34" s="94" customFormat="true" ht="73.5" hidden="false" customHeight="true" outlineLevel="0" collapsed="false">
      <c r="A34" s="106" t="s">
        <v>262</v>
      </c>
      <c r="B34" s="66" t="s">
        <v>181</v>
      </c>
      <c r="C34" s="107" t="s">
        <v>266</v>
      </c>
      <c r="D34" s="107" t="s">
        <v>267</v>
      </c>
      <c r="E34" s="107" t="s">
        <v>153</v>
      </c>
      <c r="F34" s="107"/>
      <c r="G34" s="107" t="s">
        <v>265</v>
      </c>
      <c r="H34" s="108" t="n">
        <v>0</v>
      </c>
      <c r="I34" s="109" t="n">
        <v>363417.93</v>
      </c>
      <c r="J34" s="110" t="n">
        <f aca="false">I34-H34</f>
        <v>363417.93</v>
      </c>
      <c r="K34" s="111" t="n">
        <f aca="false">IFERROR(J34/H34*100,)</f>
        <v>0</v>
      </c>
      <c r="L34" s="115" t="n">
        <v>0</v>
      </c>
      <c r="M34" s="113" t="n">
        <v>27</v>
      </c>
      <c r="N34" s="92"/>
      <c r="O34" s="114" t="n">
        <f aca="false">I34-H34</f>
        <v>363417.93</v>
      </c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</row>
    <row r="35" s="94" customFormat="true" ht="73.5" hidden="false" customHeight="true" outlineLevel="0" collapsed="false">
      <c r="A35" s="106" t="s">
        <v>262</v>
      </c>
      <c r="B35" s="66" t="s">
        <v>181</v>
      </c>
      <c r="C35" s="107" t="s">
        <v>268</v>
      </c>
      <c r="D35" s="107" t="s">
        <v>269</v>
      </c>
      <c r="E35" s="107" t="s">
        <v>153</v>
      </c>
      <c r="F35" s="107"/>
      <c r="G35" s="107" t="s">
        <v>265</v>
      </c>
      <c r="H35" s="108" t="n">
        <v>67597.2</v>
      </c>
      <c r="I35" s="109" t="n">
        <v>0</v>
      </c>
      <c r="J35" s="110" t="n">
        <f aca="false">I35-H35</f>
        <v>-67597.2</v>
      </c>
      <c r="K35" s="111" t="n">
        <f aca="false">IFERROR(J35/H35*100,)</f>
        <v>-100</v>
      </c>
      <c r="L35" s="115" t="n">
        <v>0</v>
      </c>
      <c r="M35" s="113" t="n">
        <v>28</v>
      </c>
      <c r="N35" s="92"/>
      <c r="O35" s="114" t="n">
        <f aca="false">I35-H35</f>
        <v>-67597.2</v>
      </c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</row>
    <row r="36" s="94" customFormat="true" ht="73.5" hidden="false" customHeight="true" outlineLevel="0" collapsed="false">
      <c r="A36" s="106" t="s">
        <v>262</v>
      </c>
      <c r="B36" s="66" t="s">
        <v>181</v>
      </c>
      <c r="C36" s="107" t="s">
        <v>270</v>
      </c>
      <c r="D36" s="107" t="s">
        <v>271</v>
      </c>
      <c r="E36" s="107" t="s">
        <v>153</v>
      </c>
      <c r="F36" s="107"/>
      <c r="G36" s="107" t="s">
        <v>265</v>
      </c>
      <c r="H36" s="108" t="n">
        <v>62778.05</v>
      </c>
      <c r="I36" s="109" t="n">
        <v>0</v>
      </c>
      <c r="J36" s="110" t="n">
        <f aca="false">I36-H36</f>
        <v>-62778.05</v>
      </c>
      <c r="K36" s="111" t="n">
        <f aca="false">IFERROR(J36/H36*100,)</f>
        <v>-100</v>
      </c>
      <c r="L36" s="115" t="n">
        <v>0</v>
      </c>
      <c r="M36" s="113" t="n">
        <v>29</v>
      </c>
      <c r="N36" s="92"/>
      <c r="O36" s="114" t="n">
        <f aca="false">I36-H36</f>
        <v>-62778.05</v>
      </c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</row>
    <row r="37" s="94" customFormat="true" ht="73.5" hidden="false" customHeight="true" outlineLevel="0" collapsed="false">
      <c r="A37" s="106" t="s">
        <v>262</v>
      </c>
      <c r="B37" s="66" t="s">
        <v>181</v>
      </c>
      <c r="C37" s="107" t="s">
        <v>272</v>
      </c>
      <c r="D37" s="107" t="s">
        <v>273</v>
      </c>
      <c r="E37" s="107" t="s">
        <v>153</v>
      </c>
      <c r="F37" s="107"/>
      <c r="G37" s="107" t="s">
        <v>265</v>
      </c>
      <c r="H37" s="108" t="n">
        <v>71618.89</v>
      </c>
      <c r="I37" s="109" t="n">
        <v>0</v>
      </c>
      <c r="J37" s="110" t="n">
        <f aca="false">I37-H37</f>
        <v>-71618.89</v>
      </c>
      <c r="K37" s="111" t="n">
        <f aca="false">IFERROR(J37/H37*100,)</f>
        <v>-100</v>
      </c>
      <c r="L37" s="115" t="n">
        <v>0</v>
      </c>
      <c r="M37" s="113" t="n">
        <v>30</v>
      </c>
      <c r="N37" s="92"/>
      <c r="O37" s="114" t="n">
        <f aca="false">I37-H37</f>
        <v>-71618.89</v>
      </c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</row>
    <row r="38" s="94" customFormat="true" ht="73.5" hidden="false" customHeight="true" outlineLevel="0" collapsed="false">
      <c r="A38" s="106" t="s">
        <v>262</v>
      </c>
      <c r="B38" s="66" t="s">
        <v>181</v>
      </c>
      <c r="C38" s="107" t="s">
        <v>274</v>
      </c>
      <c r="D38" s="107" t="s">
        <v>275</v>
      </c>
      <c r="E38" s="107" t="s">
        <v>153</v>
      </c>
      <c r="F38" s="107"/>
      <c r="G38" s="107" t="s">
        <v>265</v>
      </c>
      <c r="H38" s="108" t="n">
        <v>47024.22</v>
      </c>
      <c r="I38" s="109" t="n">
        <v>0</v>
      </c>
      <c r="J38" s="110" t="n">
        <f aca="false">I38-H38</f>
        <v>-47024.22</v>
      </c>
      <c r="K38" s="111" t="n">
        <f aca="false">IFERROR(J38/H38*100,)</f>
        <v>-100</v>
      </c>
      <c r="L38" s="115" t="n">
        <v>0</v>
      </c>
      <c r="M38" s="113" t="n">
        <v>31</v>
      </c>
      <c r="N38" s="92"/>
      <c r="O38" s="114" t="n">
        <f aca="false">I38-H38</f>
        <v>-47024.22</v>
      </c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</row>
    <row r="39" s="94" customFormat="true" ht="73.5" hidden="false" customHeight="true" outlineLevel="0" collapsed="false">
      <c r="A39" s="106" t="s">
        <v>262</v>
      </c>
      <c r="B39" s="66" t="s">
        <v>181</v>
      </c>
      <c r="C39" s="107" t="s">
        <v>276</v>
      </c>
      <c r="D39" s="107" t="s">
        <v>277</v>
      </c>
      <c r="E39" s="107" t="s">
        <v>153</v>
      </c>
      <c r="F39" s="107"/>
      <c r="G39" s="107" t="s">
        <v>265</v>
      </c>
      <c r="H39" s="108" t="n">
        <v>66514.73</v>
      </c>
      <c r="I39" s="109" t="n">
        <v>0</v>
      </c>
      <c r="J39" s="110" t="n">
        <f aca="false">I39-H39</f>
        <v>-66514.73</v>
      </c>
      <c r="K39" s="111" t="n">
        <f aca="false">IFERROR(J39/H39*100,)</f>
        <v>-100</v>
      </c>
      <c r="L39" s="115" t="n">
        <v>0</v>
      </c>
      <c r="M39" s="113" t="n">
        <v>32</v>
      </c>
      <c r="N39" s="92"/>
      <c r="O39" s="114" t="n">
        <f aca="false">I39-H39</f>
        <v>-66514.73</v>
      </c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</row>
    <row r="40" s="94" customFormat="true" ht="62" hidden="false" customHeight="false" outlineLevel="0" collapsed="false">
      <c r="A40" s="106" t="s">
        <v>262</v>
      </c>
      <c r="B40" s="66" t="s">
        <v>181</v>
      </c>
      <c r="C40" s="107" t="s">
        <v>278</v>
      </c>
      <c r="D40" s="107" t="s">
        <v>279</v>
      </c>
      <c r="E40" s="107" t="s">
        <v>143</v>
      </c>
      <c r="F40" s="107"/>
      <c r="G40" s="107" t="s">
        <v>280</v>
      </c>
      <c r="H40" s="108" t="n">
        <v>144000</v>
      </c>
      <c r="I40" s="109" t="n">
        <v>40290</v>
      </c>
      <c r="J40" s="110" t="n">
        <f aca="false">I40-H40</f>
        <v>-103710</v>
      </c>
      <c r="K40" s="111" t="n">
        <f aca="false">IFERROR(J40/H40*100,)</f>
        <v>-72.0208333333333</v>
      </c>
      <c r="L40" s="115" t="n">
        <v>0</v>
      </c>
      <c r="M40" s="113" t="n">
        <v>33</v>
      </c>
      <c r="N40" s="92"/>
      <c r="O40" s="114" t="n">
        <f aca="false">I40-H40</f>
        <v>-103710</v>
      </c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</row>
    <row r="41" s="94" customFormat="true" ht="46.5" hidden="false" customHeight="false" outlineLevel="0" collapsed="false">
      <c r="A41" s="106" t="s">
        <v>281</v>
      </c>
      <c r="B41" s="66" t="s">
        <v>181</v>
      </c>
      <c r="C41" s="107" t="s">
        <v>282</v>
      </c>
      <c r="D41" s="107" t="s">
        <v>283</v>
      </c>
      <c r="E41" s="107" t="s">
        <v>86</v>
      </c>
      <c r="F41" s="107"/>
      <c r="G41" s="107" t="s">
        <v>284</v>
      </c>
      <c r="H41" s="108" t="n">
        <v>791258.95</v>
      </c>
      <c r="I41" s="109" t="n">
        <v>842015.8</v>
      </c>
      <c r="J41" s="110" t="n">
        <f aca="false">I41-H41</f>
        <v>50756.8500000001</v>
      </c>
      <c r="K41" s="111" t="n">
        <f aca="false">IFERROR(J41/H41*100,)</f>
        <v>6.41469521450596</v>
      </c>
      <c r="L41" s="116" t="n">
        <v>20000</v>
      </c>
      <c r="M41" s="113" t="n">
        <v>34</v>
      </c>
      <c r="N41" s="92"/>
      <c r="O41" s="114" t="n">
        <f aca="false">I41-H41</f>
        <v>50756.8500000001</v>
      </c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</row>
    <row r="42" s="94" customFormat="true" ht="46.5" hidden="false" customHeight="false" outlineLevel="0" collapsed="false">
      <c r="A42" s="106" t="s">
        <v>285</v>
      </c>
      <c r="B42" s="66" t="s">
        <v>181</v>
      </c>
      <c r="C42" s="107" t="s">
        <v>286</v>
      </c>
      <c r="D42" s="107" t="s">
        <v>287</v>
      </c>
      <c r="E42" s="107" t="s">
        <v>117</v>
      </c>
      <c r="F42" s="107"/>
      <c r="G42" s="107" t="s">
        <v>288</v>
      </c>
      <c r="H42" s="108" t="n">
        <v>816804.98</v>
      </c>
      <c r="I42" s="109" t="n">
        <v>1081382.1</v>
      </c>
      <c r="J42" s="110" t="n">
        <f aca="false">I42-H42</f>
        <v>264577.12</v>
      </c>
      <c r="K42" s="111" t="n">
        <f aca="false">IFERROR(J42/H42*100,)</f>
        <v>32.3917124011658</v>
      </c>
      <c r="L42" s="115" t="n">
        <v>0</v>
      </c>
      <c r="M42" s="113" t="n">
        <v>35</v>
      </c>
      <c r="N42" s="92"/>
      <c r="O42" s="114" t="n">
        <f aca="false">I42-H42</f>
        <v>264577.12</v>
      </c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</row>
    <row r="43" s="94" customFormat="true" ht="31" hidden="false" customHeight="false" outlineLevel="0" collapsed="false">
      <c r="A43" s="106" t="s">
        <v>285</v>
      </c>
      <c r="B43" s="66" t="s">
        <v>181</v>
      </c>
      <c r="C43" s="107" t="s">
        <v>289</v>
      </c>
      <c r="D43" s="107" t="s">
        <v>290</v>
      </c>
      <c r="E43" s="107" t="s">
        <v>117</v>
      </c>
      <c r="F43" s="107"/>
      <c r="G43" s="107" t="s">
        <v>291</v>
      </c>
      <c r="H43" s="108" t="n">
        <v>241349.58</v>
      </c>
      <c r="I43" s="109" t="n">
        <v>210770.87</v>
      </c>
      <c r="J43" s="110" t="n">
        <f aca="false">I43-H43</f>
        <v>-30578.71</v>
      </c>
      <c r="K43" s="111" t="n">
        <f aca="false">IFERROR(J43/H43*100,)</f>
        <v>-12.6698832457053</v>
      </c>
      <c r="L43" s="112" t="n">
        <v>0</v>
      </c>
      <c r="M43" s="113" t="n">
        <v>36</v>
      </c>
      <c r="N43" s="92"/>
      <c r="O43" s="114" t="n">
        <f aca="false">I43-H43</f>
        <v>-30578.71</v>
      </c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</row>
    <row r="44" s="94" customFormat="true" ht="79.5" hidden="false" customHeight="true" outlineLevel="0" collapsed="false">
      <c r="A44" s="106" t="s">
        <v>292</v>
      </c>
      <c r="B44" s="66" t="s">
        <v>181</v>
      </c>
      <c r="C44" s="107" t="s">
        <v>293</v>
      </c>
      <c r="D44" s="107" t="s">
        <v>294</v>
      </c>
      <c r="E44" s="107" t="s">
        <v>134</v>
      </c>
      <c r="F44" s="107"/>
      <c r="G44" s="107" t="s">
        <v>295</v>
      </c>
      <c r="H44" s="108" t="n">
        <v>791955.15</v>
      </c>
      <c r="I44" s="109" t="n">
        <v>1064283.65</v>
      </c>
      <c r="J44" s="110" t="n">
        <f aca="false">I44-H44</f>
        <v>272328.5</v>
      </c>
      <c r="K44" s="111" t="n">
        <f aca="false">IFERROR(J44/H44*100,)</f>
        <v>34.3868589023002</v>
      </c>
      <c r="L44" s="115" t="n">
        <v>0</v>
      </c>
      <c r="M44" s="113" t="n">
        <v>37</v>
      </c>
      <c r="N44" s="92"/>
      <c r="O44" s="114" t="n">
        <f aca="false">I44-H44</f>
        <v>272328.5</v>
      </c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</row>
    <row r="45" s="94" customFormat="true" ht="89.25" hidden="false" customHeight="true" outlineLevel="0" collapsed="false">
      <c r="A45" s="106" t="s">
        <v>296</v>
      </c>
      <c r="B45" s="66" t="s">
        <v>181</v>
      </c>
      <c r="C45" s="107" t="s">
        <v>297</v>
      </c>
      <c r="D45" s="107" t="s">
        <v>298</v>
      </c>
      <c r="E45" s="107" t="s">
        <v>147</v>
      </c>
      <c r="F45" s="107"/>
      <c r="G45" s="107" t="s">
        <v>299</v>
      </c>
      <c r="H45" s="108" t="n">
        <v>269254.36</v>
      </c>
      <c r="I45" s="109" t="n">
        <v>291996.2</v>
      </c>
      <c r="J45" s="110" t="n">
        <f aca="false">I45-H45</f>
        <v>22741.84</v>
      </c>
      <c r="K45" s="111" t="n">
        <f aca="false">IFERROR(J45/H45*100,)</f>
        <v>8.44622906013482</v>
      </c>
      <c r="L45" s="115" t="n">
        <v>0</v>
      </c>
      <c r="M45" s="113" t="n">
        <v>38</v>
      </c>
      <c r="N45" s="92"/>
      <c r="O45" s="114" t="n">
        <f aca="false">I45-H45</f>
        <v>22741.84</v>
      </c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</row>
    <row r="46" s="94" customFormat="true" ht="71.15" hidden="false" customHeight="true" outlineLevel="0" collapsed="false">
      <c r="A46" s="106" t="s">
        <v>296</v>
      </c>
      <c r="B46" s="66" t="s">
        <v>181</v>
      </c>
      <c r="C46" s="107" t="s">
        <v>300</v>
      </c>
      <c r="D46" s="107" t="s">
        <v>301</v>
      </c>
      <c r="E46" s="107" t="s">
        <v>117</v>
      </c>
      <c r="F46" s="107"/>
      <c r="G46" s="107" t="s">
        <v>302</v>
      </c>
      <c r="H46" s="108" t="n">
        <v>153572.07</v>
      </c>
      <c r="I46" s="109" t="n">
        <v>205882.9246</v>
      </c>
      <c r="J46" s="110" t="n">
        <f aca="false">I46-H46</f>
        <v>52310.8546</v>
      </c>
      <c r="K46" s="111" t="n">
        <f aca="false">IFERROR(J46/H46*100,)</f>
        <v>34.0627397937659</v>
      </c>
      <c r="L46" s="115" t="n">
        <v>0</v>
      </c>
      <c r="M46" s="113" t="n">
        <v>39</v>
      </c>
      <c r="N46" s="92"/>
      <c r="O46" s="114" t="n">
        <f aca="false">I46-H46</f>
        <v>52310.8546</v>
      </c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</row>
    <row r="47" s="94" customFormat="true" ht="71.15" hidden="false" customHeight="true" outlineLevel="0" collapsed="false">
      <c r="A47" s="106" t="s">
        <v>180</v>
      </c>
      <c r="B47" s="66" t="s">
        <v>303</v>
      </c>
      <c r="C47" s="107" t="s">
        <v>304</v>
      </c>
      <c r="D47" s="107" t="s">
        <v>305</v>
      </c>
      <c r="E47" s="107" t="s">
        <v>108</v>
      </c>
      <c r="F47" s="107"/>
      <c r="G47" s="107" t="s">
        <v>306</v>
      </c>
      <c r="H47" s="108" t="n">
        <v>20000</v>
      </c>
      <c r="I47" s="109" t="n">
        <v>238711</v>
      </c>
      <c r="J47" s="110" t="n">
        <f aca="false">I47-H47</f>
        <v>218711</v>
      </c>
      <c r="K47" s="111" t="n">
        <f aca="false">IFERROR(J47/H47*100,)</f>
        <v>1093.555</v>
      </c>
      <c r="L47" s="115" t="n">
        <v>0</v>
      </c>
      <c r="M47" s="113" t="n">
        <v>40</v>
      </c>
      <c r="N47" s="92"/>
      <c r="O47" s="114" t="n">
        <f aca="false">I47-H47</f>
        <v>218711</v>
      </c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</row>
    <row r="48" s="94" customFormat="true" ht="71.15" hidden="false" customHeight="true" outlineLevel="0" collapsed="false">
      <c r="A48" s="106" t="s">
        <v>180</v>
      </c>
      <c r="B48" s="66" t="s">
        <v>303</v>
      </c>
      <c r="C48" s="107" t="s">
        <v>307</v>
      </c>
      <c r="D48" s="107" t="s">
        <v>308</v>
      </c>
      <c r="E48" s="107" t="s">
        <v>65</v>
      </c>
      <c r="F48" s="107"/>
      <c r="G48" s="107" t="s">
        <v>309</v>
      </c>
      <c r="H48" s="108" t="n">
        <v>130000</v>
      </c>
      <c r="I48" s="109" t="n">
        <v>56000</v>
      </c>
      <c r="J48" s="110" t="n">
        <f aca="false">I48-H48</f>
        <v>-74000</v>
      </c>
      <c r="K48" s="111" t="n">
        <f aca="false">IFERROR(J48/H48*100,)</f>
        <v>-56.9230769230769</v>
      </c>
      <c r="L48" s="115" t="n">
        <v>0</v>
      </c>
      <c r="M48" s="113" t="n">
        <v>41</v>
      </c>
      <c r="N48" s="92"/>
      <c r="O48" s="114" t="n">
        <f aca="false">I48-H48</f>
        <v>-74000</v>
      </c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</row>
    <row r="49" s="94" customFormat="true" ht="69.75" hidden="false" customHeight="true" outlineLevel="0" collapsed="false">
      <c r="A49" s="106" t="s">
        <v>262</v>
      </c>
      <c r="B49" s="66" t="s">
        <v>303</v>
      </c>
      <c r="C49" s="107" t="s">
        <v>310</v>
      </c>
      <c r="D49" s="107" t="s">
        <v>311</v>
      </c>
      <c r="E49" s="107" t="s">
        <v>153</v>
      </c>
      <c r="F49" s="107"/>
      <c r="G49" s="107" t="s">
        <v>312</v>
      </c>
      <c r="H49" s="108" t="n">
        <v>185000</v>
      </c>
      <c r="I49" s="109" t="n">
        <v>115000</v>
      </c>
      <c r="J49" s="110" t="n">
        <f aca="false">I49-H49</f>
        <v>-70000</v>
      </c>
      <c r="K49" s="111" t="n">
        <f aca="false">IFERROR(J49/H49*100,)</f>
        <v>-37.8378378378378</v>
      </c>
      <c r="L49" s="116" t="n">
        <v>115000</v>
      </c>
      <c r="M49" s="113" t="n">
        <v>42</v>
      </c>
      <c r="N49" s="92"/>
      <c r="O49" s="114" t="n">
        <f aca="false">I49-H49</f>
        <v>-70000</v>
      </c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</row>
    <row r="50" s="94" customFormat="true" ht="62.25" hidden="false" customHeight="true" outlineLevel="0" collapsed="false">
      <c r="A50" s="106" t="s">
        <v>262</v>
      </c>
      <c r="B50" s="66" t="s">
        <v>303</v>
      </c>
      <c r="C50" s="107" t="s">
        <v>313</v>
      </c>
      <c r="D50" s="107" t="s">
        <v>314</v>
      </c>
      <c r="E50" s="107" t="s">
        <v>153</v>
      </c>
      <c r="F50" s="107"/>
      <c r="G50" s="107" t="s">
        <v>315</v>
      </c>
      <c r="H50" s="108" t="n">
        <v>3715000</v>
      </c>
      <c r="I50" s="109" t="n">
        <v>3715000</v>
      </c>
      <c r="J50" s="110" t="n">
        <f aca="false">I50-H50</f>
        <v>0</v>
      </c>
      <c r="K50" s="111" t="n">
        <f aca="false">IFERROR(J50/H50*100,)</f>
        <v>0</v>
      </c>
      <c r="L50" s="116" t="n">
        <v>3700000</v>
      </c>
      <c r="M50" s="113" t="n">
        <v>43</v>
      </c>
      <c r="N50" s="92"/>
      <c r="O50" s="114" t="n">
        <f aca="false">I50-H50</f>
        <v>0</v>
      </c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</row>
    <row r="51" s="94" customFormat="true" ht="56.25" hidden="false" customHeight="true" outlineLevel="0" collapsed="false">
      <c r="A51" s="106" t="s">
        <v>281</v>
      </c>
      <c r="B51" s="66" t="s">
        <v>303</v>
      </c>
      <c r="C51" s="107" t="s">
        <v>316</v>
      </c>
      <c r="D51" s="107" t="s">
        <v>317</v>
      </c>
      <c r="E51" s="107" t="s">
        <v>108</v>
      </c>
      <c r="F51" s="107"/>
      <c r="G51" s="107" t="s">
        <v>318</v>
      </c>
      <c r="H51" s="108" t="n">
        <v>500</v>
      </c>
      <c r="I51" s="109" t="n">
        <v>500</v>
      </c>
      <c r="J51" s="110" t="n">
        <f aca="false">I51-H51</f>
        <v>0</v>
      </c>
      <c r="K51" s="111" t="n">
        <f aca="false">IFERROR(J51/H51*100,)</f>
        <v>0</v>
      </c>
      <c r="L51" s="115" t="n">
        <v>0</v>
      </c>
      <c r="M51" s="113" t="n">
        <v>44</v>
      </c>
      <c r="N51" s="92"/>
      <c r="O51" s="114" t="n">
        <f aca="false">I51-H51</f>
        <v>0</v>
      </c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</row>
    <row r="52" s="94" customFormat="true" ht="108.5" hidden="false" customHeight="false" outlineLevel="0" collapsed="false">
      <c r="A52" s="106" t="s">
        <v>180</v>
      </c>
      <c r="B52" s="66" t="s">
        <v>303</v>
      </c>
      <c r="C52" s="107" t="s">
        <v>319</v>
      </c>
      <c r="D52" s="107" t="s">
        <v>320</v>
      </c>
      <c r="E52" s="107" t="s">
        <v>82</v>
      </c>
      <c r="F52" s="107"/>
      <c r="G52" s="107" t="s">
        <v>321</v>
      </c>
      <c r="H52" s="108" t="n">
        <v>500</v>
      </c>
      <c r="I52" s="109" t="n">
        <v>0</v>
      </c>
      <c r="J52" s="110" t="n">
        <f aca="false">I52-H52</f>
        <v>-500</v>
      </c>
      <c r="K52" s="111" t="n">
        <f aca="false">IFERROR(J52/H52*100,)</f>
        <v>-100</v>
      </c>
      <c r="L52" s="115" t="n">
        <v>0</v>
      </c>
      <c r="M52" s="113" t="n">
        <v>45</v>
      </c>
      <c r="N52" s="92"/>
      <c r="O52" s="114" t="n">
        <f aca="false">I52-H52</f>
        <v>-500</v>
      </c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</row>
    <row r="53" s="94" customFormat="true" ht="46.5" hidden="false" customHeight="false" outlineLevel="0" collapsed="false">
      <c r="A53" s="106" t="s">
        <v>281</v>
      </c>
      <c r="B53" s="66" t="s">
        <v>303</v>
      </c>
      <c r="C53" s="107" t="s">
        <v>322</v>
      </c>
      <c r="D53" s="107" t="s">
        <v>320</v>
      </c>
      <c r="E53" s="107" t="s">
        <v>82</v>
      </c>
      <c r="F53" s="107"/>
      <c r="G53" s="107" t="s">
        <v>323</v>
      </c>
      <c r="H53" s="108" t="n">
        <v>500</v>
      </c>
      <c r="I53" s="109" t="n">
        <v>500</v>
      </c>
      <c r="J53" s="110" t="n">
        <f aca="false">I53-H53</f>
        <v>0</v>
      </c>
      <c r="K53" s="111" t="n">
        <f aca="false">IFERROR(J53/H53*100,)</f>
        <v>0</v>
      </c>
      <c r="L53" s="115" t="n">
        <v>0</v>
      </c>
      <c r="M53" s="113" t="n">
        <v>46</v>
      </c>
      <c r="N53" s="92"/>
      <c r="O53" s="114" t="n">
        <f aca="false">I53-H53</f>
        <v>0</v>
      </c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</row>
    <row r="54" s="94" customFormat="true" ht="46.5" hidden="false" customHeight="false" outlineLevel="0" collapsed="false">
      <c r="A54" s="106" t="s">
        <v>281</v>
      </c>
      <c r="B54" s="66" t="s">
        <v>303</v>
      </c>
      <c r="C54" s="107" t="s">
        <v>324</v>
      </c>
      <c r="D54" s="107" t="s">
        <v>325</v>
      </c>
      <c r="E54" s="107" t="s">
        <v>108</v>
      </c>
      <c r="F54" s="107"/>
      <c r="G54" s="107" t="s">
        <v>309</v>
      </c>
      <c r="H54" s="108" t="n">
        <v>500</v>
      </c>
      <c r="I54" s="109" t="n">
        <v>3000</v>
      </c>
      <c r="J54" s="110" t="n">
        <f aca="false">I54-H54</f>
        <v>2500</v>
      </c>
      <c r="K54" s="111" t="n">
        <f aca="false">IFERROR(J54/H54*100,)</f>
        <v>500</v>
      </c>
      <c r="L54" s="115" t="n">
        <v>0</v>
      </c>
      <c r="M54" s="113" t="n">
        <v>47</v>
      </c>
      <c r="N54" s="92"/>
      <c r="O54" s="114" t="n">
        <f aca="false">I54-H54</f>
        <v>2500</v>
      </c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</row>
    <row r="55" s="94" customFormat="true" ht="46.5" hidden="false" customHeight="false" outlineLevel="0" collapsed="false">
      <c r="A55" s="106" t="s">
        <v>281</v>
      </c>
      <c r="B55" s="66" t="s">
        <v>303</v>
      </c>
      <c r="C55" s="107" t="s">
        <v>326</v>
      </c>
      <c r="D55" s="107" t="s">
        <v>325</v>
      </c>
      <c r="E55" s="107" t="s">
        <v>65</v>
      </c>
      <c r="F55" s="107"/>
      <c r="G55" s="107" t="s">
        <v>327</v>
      </c>
      <c r="H55" s="108" t="n">
        <v>145626</v>
      </c>
      <c r="I55" s="109" t="n">
        <v>72000</v>
      </c>
      <c r="J55" s="110" t="n">
        <f aca="false">I55-H55</f>
        <v>-73626</v>
      </c>
      <c r="K55" s="111" t="n">
        <f aca="false">IFERROR(J55/H55*100,)</f>
        <v>-50.5582794281241</v>
      </c>
      <c r="L55" s="115" t="n">
        <v>0</v>
      </c>
      <c r="M55" s="113" t="n">
        <v>48</v>
      </c>
      <c r="N55" s="92"/>
      <c r="O55" s="114" t="n">
        <f aca="false">I55-H55</f>
        <v>-73626</v>
      </c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</row>
    <row r="56" s="94" customFormat="true" ht="46.5" hidden="false" customHeight="false" outlineLevel="0" collapsed="false">
      <c r="A56" s="106" t="s">
        <v>243</v>
      </c>
      <c r="B56" s="66" t="s">
        <v>328</v>
      </c>
      <c r="C56" s="107" t="s">
        <v>329</v>
      </c>
      <c r="D56" s="107" t="s">
        <v>330</v>
      </c>
      <c r="E56" s="107" t="s">
        <v>246</v>
      </c>
      <c r="F56" s="107"/>
      <c r="G56" s="107" t="s">
        <v>331</v>
      </c>
      <c r="H56" s="108" t="n">
        <v>0</v>
      </c>
      <c r="I56" s="109" t="n">
        <v>30000</v>
      </c>
      <c r="J56" s="110" t="n">
        <f aca="false">I56-H56</f>
        <v>30000</v>
      </c>
      <c r="K56" s="111" t="n">
        <f aca="false">IFERROR(J56/H56*100,)</f>
        <v>0</v>
      </c>
      <c r="L56" s="116" t="n">
        <v>30000</v>
      </c>
      <c r="M56" s="113" t="n">
        <v>49</v>
      </c>
      <c r="N56" s="92"/>
      <c r="O56" s="114" t="n">
        <f aca="false">I56-H56</f>
        <v>30000</v>
      </c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</row>
    <row r="57" s="94" customFormat="true" ht="58" hidden="false" customHeight="true" outlineLevel="0" collapsed="false">
      <c r="A57" s="106" t="s">
        <v>180</v>
      </c>
      <c r="B57" s="66" t="s">
        <v>328</v>
      </c>
      <c r="C57" s="107" t="s">
        <v>332</v>
      </c>
      <c r="D57" s="107" t="s">
        <v>333</v>
      </c>
      <c r="E57" s="107" t="s">
        <v>246</v>
      </c>
      <c r="F57" s="107"/>
      <c r="G57" s="107" t="s">
        <v>334</v>
      </c>
      <c r="H57" s="108" t="n">
        <v>63000</v>
      </c>
      <c r="I57" s="109" t="n">
        <v>63000</v>
      </c>
      <c r="J57" s="110" t="n">
        <f aca="false">I57-H57</f>
        <v>0</v>
      </c>
      <c r="K57" s="111" t="n">
        <f aca="false">IFERROR(J57/H57*100,)</f>
        <v>0</v>
      </c>
      <c r="L57" s="116" t="n">
        <v>63000</v>
      </c>
      <c r="M57" s="113" t="n">
        <v>50</v>
      </c>
      <c r="N57" s="92"/>
      <c r="O57" s="114" t="n">
        <f aca="false">I57-H57</f>
        <v>0</v>
      </c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</row>
    <row r="58" s="94" customFormat="true" ht="44.5" hidden="false" customHeight="true" outlineLevel="0" collapsed="false">
      <c r="A58" s="106" t="s">
        <v>185</v>
      </c>
      <c r="B58" s="66" t="s">
        <v>328</v>
      </c>
      <c r="C58" s="107" t="s">
        <v>335</v>
      </c>
      <c r="D58" s="107" t="s">
        <v>336</v>
      </c>
      <c r="E58" s="107" t="s">
        <v>188</v>
      </c>
      <c r="F58" s="107"/>
      <c r="G58" s="107" t="s">
        <v>337</v>
      </c>
      <c r="H58" s="108" t="n">
        <v>500</v>
      </c>
      <c r="I58" s="109" t="n">
        <v>50000</v>
      </c>
      <c r="J58" s="110" t="n">
        <f aca="false">I58-H58</f>
        <v>49500</v>
      </c>
      <c r="K58" s="111" t="n">
        <f aca="false">IFERROR(J58/H58*100,)</f>
        <v>9900</v>
      </c>
      <c r="L58" s="116" t="n">
        <v>50000</v>
      </c>
      <c r="M58" s="113" t="n">
        <v>51</v>
      </c>
      <c r="N58" s="92"/>
      <c r="O58" s="114" t="n">
        <f aca="false">I58-H58</f>
        <v>49500</v>
      </c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</row>
    <row r="59" s="94" customFormat="true" ht="62" hidden="false" customHeight="false" outlineLevel="0" collapsed="false">
      <c r="A59" s="106" t="s">
        <v>190</v>
      </c>
      <c r="B59" s="66" t="s">
        <v>328</v>
      </c>
      <c r="C59" s="107" t="s">
        <v>338</v>
      </c>
      <c r="D59" s="107" t="s">
        <v>339</v>
      </c>
      <c r="E59" s="107" t="s">
        <v>98</v>
      </c>
      <c r="F59" s="107"/>
      <c r="G59" s="107" t="s">
        <v>340</v>
      </c>
      <c r="H59" s="108" t="n">
        <v>500</v>
      </c>
      <c r="I59" s="109" t="n">
        <v>50000</v>
      </c>
      <c r="J59" s="110" t="n">
        <f aca="false">I59-H59</f>
        <v>49500</v>
      </c>
      <c r="K59" s="111" t="n">
        <f aca="false">IFERROR(J59/H59*100,)</f>
        <v>9900</v>
      </c>
      <c r="L59" s="116" t="n">
        <v>50000</v>
      </c>
      <c r="M59" s="113" t="n">
        <v>52</v>
      </c>
      <c r="N59" s="92"/>
      <c r="O59" s="114" t="n">
        <f aca="false">I59-H59</f>
        <v>49500</v>
      </c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</row>
    <row r="60" s="94" customFormat="true" ht="56.5" hidden="false" customHeight="true" outlineLevel="0" collapsed="false">
      <c r="A60" s="106" t="s">
        <v>194</v>
      </c>
      <c r="B60" s="66" t="s">
        <v>328</v>
      </c>
      <c r="C60" s="107" t="s">
        <v>341</v>
      </c>
      <c r="D60" s="107" t="s">
        <v>342</v>
      </c>
      <c r="E60" s="107" t="s">
        <v>343</v>
      </c>
      <c r="F60" s="107"/>
      <c r="G60" s="107" t="s">
        <v>344</v>
      </c>
      <c r="H60" s="108" t="n">
        <v>500</v>
      </c>
      <c r="I60" s="109" t="n">
        <v>0</v>
      </c>
      <c r="J60" s="110" t="n">
        <f aca="false">I60-H60</f>
        <v>-500</v>
      </c>
      <c r="K60" s="111" t="n">
        <f aca="false">IFERROR(J60/H60*100,)</f>
        <v>-100</v>
      </c>
      <c r="L60" s="115" t="n">
        <v>0</v>
      </c>
      <c r="M60" s="113" t="n">
        <v>53</v>
      </c>
      <c r="N60" s="92"/>
      <c r="O60" s="114" t="n">
        <f aca="false">I60-H60</f>
        <v>-500</v>
      </c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</row>
    <row r="61" s="94" customFormat="true" ht="51.75" hidden="false" customHeight="true" outlineLevel="0" collapsed="false">
      <c r="A61" s="106" t="s">
        <v>194</v>
      </c>
      <c r="B61" s="66" t="s">
        <v>328</v>
      </c>
      <c r="C61" s="107" t="s">
        <v>345</v>
      </c>
      <c r="D61" s="107" t="s">
        <v>346</v>
      </c>
      <c r="E61" s="107" t="s">
        <v>343</v>
      </c>
      <c r="F61" s="107"/>
      <c r="G61" s="107" t="s">
        <v>347</v>
      </c>
      <c r="H61" s="108" t="n">
        <v>5600</v>
      </c>
      <c r="I61" s="109" t="n">
        <v>0</v>
      </c>
      <c r="J61" s="110" t="n">
        <f aca="false">I61-H61</f>
        <v>-5600</v>
      </c>
      <c r="K61" s="111" t="n">
        <f aca="false">IFERROR(J61/H61*100,)</f>
        <v>-100</v>
      </c>
      <c r="L61" s="115" t="n">
        <v>0</v>
      </c>
      <c r="M61" s="113" t="n">
        <v>54</v>
      </c>
      <c r="N61" s="92"/>
      <c r="O61" s="114" t="n">
        <f aca="false">I61-H61</f>
        <v>-5600</v>
      </c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</row>
    <row r="62" s="94" customFormat="true" ht="49" hidden="false" customHeight="true" outlineLevel="0" collapsed="false">
      <c r="A62" s="106" t="s">
        <v>194</v>
      </c>
      <c r="B62" s="66" t="s">
        <v>328</v>
      </c>
      <c r="C62" s="107" t="s">
        <v>348</v>
      </c>
      <c r="D62" s="107" t="s">
        <v>349</v>
      </c>
      <c r="E62" s="107" t="s">
        <v>21</v>
      </c>
      <c r="F62" s="107"/>
      <c r="G62" s="107" t="s">
        <v>350</v>
      </c>
      <c r="H62" s="108" t="n">
        <v>20000</v>
      </c>
      <c r="I62" s="109" t="n">
        <v>0</v>
      </c>
      <c r="J62" s="110" t="n">
        <f aca="false">I62-H62</f>
        <v>-20000</v>
      </c>
      <c r="K62" s="111" t="n">
        <f aca="false">IFERROR(J62/H62*100,)</f>
        <v>-100</v>
      </c>
      <c r="L62" s="115" t="n">
        <v>0</v>
      </c>
      <c r="M62" s="113" t="n">
        <v>55</v>
      </c>
      <c r="N62" s="92"/>
      <c r="O62" s="114" t="n">
        <f aca="false">I62-H62</f>
        <v>-20000</v>
      </c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</row>
    <row r="63" s="94" customFormat="true" ht="77.25" hidden="false" customHeight="true" outlineLevel="0" collapsed="false">
      <c r="A63" s="106" t="s">
        <v>194</v>
      </c>
      <c r="B63" s="66" t="s">
        <v>328</v>
      </c>
      <c r="C63" s="107" t="s">
        <v>351</v>
      </c>
      <c r="D63" s="107" t="s">
        <v>352</v>
      </c>
      <c r="E63" s="107" t="s">
        <v>153</v>
      </c>
      <c r="F63" s="107"/>
      <c r="G63" s="107" t="s">
        <v>353</v>
      </c>
      <c r="H63" s="108" t="n">
        <v>20100</v>
      </c>
      <c r="I63" s="109" t="n">
        <v>50000</v>
      </c>
      <c r="J63" s="110" t="n">
        <f aca="false">I63-H63</f>
        <v>29900</v>
      </c>
      <c r="K63" s="111" t="n">
        <f aca="false">IFERROR(J63/H63*100,)</f>
        <v>148.756218905473</v>
      </c>
      <c r="L63" s="116" t="n">
        <v>50000</v>
      </c>
      <c r="M63" s="113" t="n">
        <v>56</v>
      </c>
      <c r="N63" s="92"/>
      <c r="O63" s="114" t="n">
        <f aca="false">I63-H63</f>
        <v>29900</v>
      </c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</row>
    <row r="64" s="94" customFormat="true" ht="31" hidden="false" customHeight="false" outlineLevel="0" collapsed="false">
      <c r="A64" s="106" t="s">
        <v>198</v>
      </c>
      <c r="B64" s="66" t="s">
        <v>328</v>
      </c>
      <c r="C64" s="107" t="s">
        <v>354</v>
      </c>
      <c r="D64" s="107" t="s">
        <v>355</v>
      </c>
      <c r="E64" s="107" t="s">
        <v>147</v>
      </c>
      <c r="F64" s="107"/>
      <c r="G64" s="107" t="s">
        <v>356</v>
      </c>
      <c r="H64" s="108" t="n">
        <v>23350</v>
      </c>
      <c r="I64" s="109" t="n">
        <v>50000</v>
      </c>
      <c r="J64" s="110" t="n">
        <f aca="false">I64-H64</f>
        <v>26650</v>
      </c>
      <c r="K64" s="111" t="n">
        <f aca="false">IFERROR(J64/H64*100,)</f>
        <v>114.132762312634</v>
      </c>
      <c r="L64" s="116" t="n">
        <v>50000</v>
      </c>
      <c r="M64" s="113" t="n">
        <v>57</v>
      </c>
      <c r="N64" s="92"/>
      <c r="O64" s="114" t="n">
        <f aca="false">I64-H64</f>
        <v>26650</v>
      </c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</row>
    <row r="65" s="94" customFormat="true" ht="103.5" hidden="false" customHeight="true" outlineLevel="0" collapsed="false">
      <c r="A65" s="106" t="s">
        <v>202</v>
      </c>
      <c r="B65" s="66" t="s">
        <v>328</v>
      </c>
      <c r="C65" s="107" t="s">
        <v>357</v>
      </c>
      <c r="D65" s="107" t="s">
        <v>358</v>
      </c>
      <c r="E65" s="107" t="s">
        <v>147</v>
      </c>
      <c r="F65" s="107"/>
      <c r="G65" s="107" t="s">
        <v>359</v>
      </c>
      <c r="H65" s="108" t="n">
        <v>150000</v>
      </c>
      <c r="I65" s="109" t="n">
        <v>200000</v>
      </c>
      <c r="J65" s="110" t="n">
        <f aca="false">I65-H65</f>
        <v>50000</v>
      </c>
      <c r="K65" s="111" t="n">
        <f aca="false">IFERROR(J65/H65*100,)</f>
        <v>33.3333333333333</v>
      </c>
      <c r="L65" s="116" t="n">
        <v>200000</v>
      </c>
      <c r="M65" s="113" t="n">
        <v>58</v>
      </c>
      <c r="N65" s="92"/>
      <c r="O65" s="114" t="n">
        <f aca="false">I65-H65</f>
        <v>50000</v>
      </c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</row>
    <row r="66" s="94" customFormat="true" ht="107.25" hidden="false" customHeight="true" outlineLevel="0" collapsed="false">
      <c r="A66" s="106" t="s">
        <v>360</v>
      </c>
      <c r="B66" s="66" t="s">
        <v>328</v>
      </c>
      <c r="C66" s="107" t="s">
        <v>361</v>
      </c>
      <c r="D66" s="107" t="s">
        <v>362</v>
      </c>
      <c r="E66" s="107" t="s">
        <v>9</v>
      </c>
      <c r="F66" s="107"/>
      <c r="G66" s="107" t="s">
        <v>363</v>
      </c>
      <c r="H66" s="108" t="n">
        <v>11000</v>
      </c>
      <c r="I66" s="109" t="n">
        <v>50000</v>
      </c>
      <c r="J66" s="110" t="n">
        <f aca="false">I66-H66</f>
        <v>39000</v>
      </c>
      <c r="K66" s="111" t="n">
        <f aca="false">IFERROR(J66/H66*100,)</f>
        <v>354.545454545455</v>
      </c>
      <c r="L66" s="116" t="n">
        <v>50000</v>
      </c>
      <c r="M66" s="113" t="n">
        <v>59</v>
      </c>
      <c r="N66" s="92"/>
      <c r="O66" s="114" t="n">
        <f aca="false">I66-H66</f>
        <v>39000</v>
      </c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</row>
    <row r="67" s="94" customFormat="true" ht="69.75" hidden="false" customHeight="true" outlineLevel="0" collapsed="false">
      <c r="A67" s="106" t="s">
        <v>360</v>
      </c>
      <c r="B67" s="66" t="s">
        <v>328</v>
      </c>
      <c r="C67" s="107" t="s">
        <v>364</v>
      </c>
      <c r="D67" s="107" t="s">
        <v>365</v>
      </c>
      <c r="E67" s="107" t="s">
        <v>9</v>
      </c>
      <c r="F67" s="107"/>
      <c r="G67" s="107" t="s">
        <v>366</v>
      </c>
      <c r="H67" s="108" t="n">
        <v>500</v>
      </c>
      <c r="I67" s="109" t="n">
        <v>0</v>
      </c>
      <c r="J67" s="110" t="n">
        <f aca="false">I67-H67</f>
        <v>-500</v>
      </c>
      <c r="K67" s="111" t="n">
        <f aca="false">IFERROR(J67/H67*100,)</f>
        <v>-100</v>
      </c>
      <c r="L67" s="115" t="n">
        <v>0</v>
      </c>
      <c r="M67" s="113" t="n">
        <v>60</v>
      </c>
      <c r="N67" s="92"/>
      <c r="O67" s="114" t="n">
        <f aca="false">I67-H67</f>
        <v>-500</v>
      </c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</row>
    <row r="68" s="94" customFormat="true" ht="50.25" hidden="false" customHeight="true" outlineLevel="0" collapsed="false">
      <c r="A68" s="106" t="s">
        <v>360</v>
      </c>
      <c r="B68" s="66" t="s">
        <v>328</v>
      </c>
      <c r="C68" s="107" t="s">
        <v>367</v>
      </c>
      <c r="D68" s="107" t="s">
        <v>305</v>
      </c>
      <c r="E68" s="107" t="s">
        <v>108</v>
      </c>
      <c r="F68" s="107"/>
      <c r="G68" s="107" t="s">
        <v>368</v>
      </c>
      <c r="H68" s="108" t="n">
        <v>500</v>
      </c>
      <c r="I68" s="109" t="n">
        <v>0</v>
      </c>
      <c r="J68" s="110" t="n">
        <f aca="false">I68-H68</f>
        <v>-500</v>
      </c>
      <c r="K68" s="111" t="n">
        <f aca="false">IFERROR(J68/H68*100,)</f>
        <v>-100</v>
      </c>
      <c r="L68" s="115" t="n">
        <v>0</v>
      </c>
      <c r="M68" s="113" t="n">
        <v>61</v>
      </c>
      <c r="N68" s="92"/>
      <c r="O68" s="114" t="n">
        <f aca="false">I68-H68</f>
        <v>-500</v>
      </c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</row>
    <row r="69" s="94" customFormat="true" ht="62" hidden="false" customHeight="false" outlineLevel="0" collapsed="false">
      <c r="A69" s="106" t="s">
        <v>180</v>
      </c>
      <c r="B69" s="66" t="s">
        <v>328</v>
      </c>
      <c r="C69" s="107" t="s">
        <v>369</v>
      </c>
      <c r="D69" s="107" t="s">
        <v>370</v>
      </c>
      <c r="E69" s="107" t="s">
        <v>108</v>
      </c>
      <c r="F69" s="107"/>
      <c r="G69" s="107" t="s">
        <v>371</v>
      </c>
      <c r="H69" s="108" t="n">
        <v>500</v>
      </c>
      <c r="I69" s="109" t="n">
        <v>500</v>
      </c>
      <c r="J69" s="110" t="n">
        <f aca="false">I69-H69</f>
        <v>0</v>
      </c>
      <c r="K69" s="111" t="n">
        <f aca="false">IFERROR(J69/H69*100,)</f>
        <v>0</v>
      </c>
      <c r="L69" s="116" t="n">
        <v>500</v>
      </c>
      <c r="M69" s="113" t="n">
        <v>62</v>
      </c>
      <c r="N69" s="92"/>
      <c r="O69" s="114" t="n">
        <f aca="false">I69-H69</f>
        <v>0</v>
      </c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</row>
    <row r="70" s="94" customFormat="true" ht="68.25" hidden="false" customHeight="true" outlineLevel="0" collapsed="false">
      <c r="A70" s="106" t="s">
        <v>180</v>
      </c>
      <c r="B70" s="66" t="s">
        <v>328</v>
      </c>
      <c r="C70" s="107" t="s">
        <v>372</v>
      </c>
      <c r="D70" s="107" t="s">
        <v>373</v>
      </c>
      <c r="E70" s="107" t="s">
        <v>153</v>
      </c>
      <c r="F70" s="107"/>
      <c r="G70" s="107" t="s">
        <v>374</v>
      </c>
      <c r="H70" s="108" t="n">
        <v>127745.24</v>
      </c>
      <c r="I70" s="109" t="n">
        <v>0</v>
      </c>
      <c r="J70" s="110" t="n">
        <f aca="false">I70-H70</f>
        <v>-127745.24</v>
      </c>
      <c r="K70" s="111" t="n">
        <f aca="false">IFERROR(J70/H70*100,)</f>
        <v>-100</v>
      </c>
      <c r="L70" s="115" t="n">
        <v>0</v>
      </c>
      <c r="M70" s="113" t="n">
        <v>63</v>
      </c>
      <c r="N70" s="92"/>
      <c r="O70" s="114" t="n">
        <f aca="false">I70-H70</f>
        <v>-127745.24</v>
      </c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</row>
    <row r="71" s="94" customFormat="true" ht="50.15" hidden="false" customHeight="true" outlineLevel="0" collapsed="false">
      <c r="A71" s="106" t="s">
        <v>180</v>
      </c>
      <c r="B71" s="66" t="s">
        <v>328</v>
      </c>
      <c r="C71" s="65" t="s">
        <v>375</v>
      </c>
      <c r="D71" s="107" t="s">
        <v>376</v>
      </c>
      <c r="E71" s="107" t="s">
        <v>108</v>
      </c>
      <c r="F71" s="107"/>
      <c r="G71" s="107" t="s">
        <v>377</v>
      </c>
      <c r="H71" s="108" t="n">
        <v>500</v>
      </c>
      <c r="I71" s="109" t="n">
        <v>500</v>
      </c>
      <c r="J71" s="110" t="n">
        <f aca="false">I71-H71</f>
        <v>0</v>
      </c>
      <c r="K71" s="111" t="n">
        <f aca="false">IFERROR(J71/H71*100,)</f>
        <v>0</v>
      </c>
      <c r="L71" s="116" t="n">
        <v>500</v>
      </c>
      <c r="M71" s="113" t="n">
        <v>63</v>
      </c>
      <c r="N71" s="92"/>
      <c r="O71" s="114" t="n">
        <f aca="false">I71-H71</f>
        <v>0</v>
      </c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</row>
    <row r="72" s="94" customFormat="true" ht="49.5" hidden="false" customHeight="true" outlineLevel="0" collapsed="false">
      <c r="A72" s="106" t="s">
        <v>180</v>
      </c>
      <c r="B72" s="66" t="s">
        <v>328</v>
      </c>
      <c r="C72" s="65" t="s">
        <v>378</v>
      </c>
      <c r="D72" s="107" t="s">
        <v>379</v>
      </c>
      <c r="E72" s="107" t="s">
        <v>343</v>
      </c>
      <c r="F72" s="107"/>
      <c r="G72" s="107" t="s">
        <v>380</v>
      </c>
      <c r="H72" s="108" t="n">
        <v>500</v>
      </c>
      <c r="I72" s="109" t="n">
        <v>500</v>
      </c>
      <c r="J72" s="110" t="n">
        <f aca="false">I72-H72</f>
        <v>0</v>
      </c>
      <c r="K72" s="111" t="n">
        <f aca="false">IFERROR(J72/H72*100,)</f>
        <v>0</v>
      </c>
      <c r="L72" s="116" t="n">
        <v>500</v>
      </c>
      <c r="M72" s="113" t="n">
        <v>64</v>
      </c>
      <c r="N72" s="92"/>
      <c r="O72" s="114" t="n">
        <f aca="false">I72-H72</f>
        <v>0</v>
      </c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</row>
    <row r="73" s="94" customFormat="true" ht="69.75" hidden="false" customHeight="true" outlineLevel="0" collapsed="false">
      <c r="A73" s="106" t="s">
        <v>180</v>
      </c>
      <c r="B73" s="66" t="s">
        <v>328</v>
      </c>
      <c r="C73" s="65" t="s">
        <v>381</v>
      </c>
      <c r="D73" s="107" t="s">
        <v>382</v>
      </c>
      <c r="E73" s="107" t="s">
        <v>153</v>
      </c>
      <c r="F73" s="107"/>
      <c r="G73" s="107" t="s">
        <v>383</v>
      </c>
      <c r="H73" s="108" t="n">
        <v>500</v>
      </c>
      <c r="I73" s="109" t="n">
        <v>500</v>
      </c>
      <c r="J73" s="110" t="n">
        <f aca="false">I73-H73</f>
        <v>0</v>
      </c>
      <c r="K73" s="111" t="n">
        <f aca="false">IFERROR(J73/H73*100,)</f>
        <v>0</v>
      </c>
      <c r="L73" s="116" t="n">
        <v>500</v>
      </c>
      <c r="M73" s="113" t="n">
        <v>65</v>
      </c>
      <c r="N73" s="92"/>
      <c r="O73" s="114" t="n">
        <f aca="false">I73-H73</f>
        <v>0</v>
      </c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</row>
    <row r="74" s="94" customFormat="true" ht="43.5" hidden="false" customHeight="true" outlineLevel="0" collapsed="false">
      <c r="A74" s="106" t="s">
        <v>219</v>
      </c>
      <c r="B74" s="66" t="s">
        <v>328</v>
      </c>
      <c r="C74" s="107" t="s">
        <v>384</v>
      </c>
      <c r="D74" s="107" t="s">
        <v>385</v>
      </c>
      <c r="E74" s="107" t="s">
        <v>21</v>
      </c>
      <c r="F74" s="107"/>
      <c r="G74" s="107" t="s">
        <v>386</v>
      </c>
      <c r="H74" s="108" t="n">
        <v>0</v>
      </c>
      <c r="I74" s="109" t="n">
        <v>400000</v>
      </c>
      <c r="J74" s="110" t="n">
        <f aca="false">I74-H74</f>
        <v>400000</v>
      </c>
      <c r="K74" s="111" t="n">
        <f aca="false">IFERROR(J74/H74*100,)</f>
        <v>0</v>
      </c>
      <c r="L74" s="116" t="n">
        <v>400000</v>
      </c>
      <c r="M74" s="113" t="n">
        <v>66</v>
      </c>
      <c r="N74" s="92"/>
      <c r="O74" s="114" t="n">
        <f aca="false">I74-H74</f>
        <v>400000</v>
      </c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</row>
    <row r="75" s="94" customFormat="true" ht="76.5" hidden="false" customHeight="true" outlineLevel="0" collapsed="false">
      <c r="A75" s="106" t="s">
        <v>219</v>
      </c>
      <c r="B75" s="66" t="s">
        <v>328</v>
      </c>
      <c r="C75" s="107" t="s">
        <v>387</v>
      </c>
      <c r="D75" s="107" t="s">
        <v>388</v>
      </c>
      <c r="E75" s="107" t="s">
        <v>21</v>
      </c>
      <c r="F75" s="107"/>
      <c r="G75" s="107" t="s">
        <v>389</v>
      </c>
      <c r="H75" s="108" t="n">
        <v>0</v>
      </c>
      <c r="I75" s="109" t="n">
        <v>334703.42</v>
      </c>
      <c r="J75" s="110" t="n">
        <f aca="false">I75-H75</f>
        <v>334703.42</v>
      </c>
      <c r="K75" s="111" t="n">
        <f aca="false">IFERROR(J75/H75*100,)</f>
        <v>0</v>
      </c>
      <c r="L75" s="116" t="n">
        <v>334703.42</v>
      </c>
      <c r="M75" s="113" t="n">
        <v>67</v>
      </c>
      <c r="N75" s="92"/>
      <c r="O75" s="114" t="n">
        <f aca="false">I75-H75</f>
        <v>334703.42</v>
      </c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</row>
    <row r="76" s="94" customFormat="true" ht="63.65" hidden="false" customHeight="true" outlineLevel="0" collapsed="false">
      <c r="A76" s="106" t="s">
        <v>262</v>
      </c>
      <c r="B76" s="66" t="s">
        <v>328</v>
      </c>
      <c r="C76" s="107" t="s">
        <v>390</v>
      </c>
      <c r="D76" s="107" t="s">
        <v>391</v>
      </c>
      <c r="E76" s="107" t="s">
        <v>147</v>
      </c>
      <c r="F76" s="107"/>
      <c r="G76" s="107" t="s">
        <v>392</v>
      </c>
      <c r="H76" s="108" t="n">
        <v>0</v>
      </c>
      <c r="I76" s="109" t="n">
        <v>50000</v>
      </c>
      <c r="J76" s="110" t="n">
        <f aca="false">I76-H76</f>
        <v>50000</v>
      </c>
      <c r="K76" s="111" t="n">
        <f aca="false">IFERROR(J76/H76*100,)</f>
        <v>0</v>
      </c>
      <c r="L76" s="116" t="n">
        <v>50000</v>
      </c>
      <c r="M76" s="113" t="n">
        <v>68</v>
      </c>
      <c r="N76" s="92"/>
      <c r="O76" s="114" t="n">
        <f aca="false">I76-H76</f>
        <v>50000</v>
      </c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</row>
    <row r="77" s="94" customFormat="true" ht="26.5" hidden="false" customHeight="true" outlineLevel="0" collapsed="false">
      <c r="A77" s="117" t="s">
        <v>393</v>
      </c>
      <c r="B77" s="117"/>
      <c r="C77" s="117"/>
      <c r="D77" s="117"/>
      <c r="E77" s="117"/>
      <c r="F77" s="117"/>
      <c r="G77" s="117"/>
      <c r="H77" s="118" t="n">
        <f aca="false">SUM(H8:H76)</f>
        <v>15929414.04</v>
      </c>
      <c r="I77" s="119" t="n">
        <f aca="false">SUM(I8:I76)</f>
        <v>18326560.9046</v>
      </c>
      <c r="J77" s="119" t="n">
        <f aca="false">SUM(J8:J76)</f>
        <v>2397146.8646</v>
      </c>
      <c r="K77" s="118" t="n">
        <f aca="false">IFERROR(J77/H77*100,)</f>
        <v>15.048556453995</v>
      </c>
      <c r="L77" s="119" t="n">
        <f aca="false">SUM(L9:L76)</f>
        <v>5274703.42</v>
      </c>
      <c r="M77" s="92"/>
      <c r="N77" s="92"/>
      <c r="O77" s="114" t="n">
        <f aca="false">SUM(O8:O76)</f>
        <v>2397146.8646</v>
      </c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</row>
    <row r="78" s="94" customFormat="true" ht="26" hidden="false" customHeight="false" outlineLevel="0" collapsed="false">
      <c r="A78" s="120" t="s">
        <v>394</v>
      </c>
      <c r="B78" s="120"/>
      <c r="C78" s="120"/>
      <c r="D78" s="120"/>
      <c r="E78" s="120"/>
      <c r="F78" s="120"/>
      <c r="G78" s="120"/>
      <c r="H78" s="121" t="n">
        <f aca="false">H77='Anexo 1. Fontes e Aplicações'!C34</f>
        <v>1</v>
      </c>
      <c r="I78" s="122" t="n">
        <f aca="false">I77='Anexo 1. Fontes e Aplicações'!D34</f>
        <v>1</v>
      </c>
      <c r="J78" s="122" t="n">
        <f aca="false">J77='Anexo 1. Fontes e Aplicações'!E34</f>
        <v>1</v>
      </c>
      <c r="K78" s="122" t="n">
        <f aca="false">K77='Anexo 1. Fontes e Aplicações'!F34</f>
        <v>1</v>
      </c>
      <c r="L78" s="123" t="n">
        <f aca="false">L77='[4]Anexo 1. Fontes e Aplicações'!D23</f>
        <v>1</v>
      </c>
      <c r="M78" s="92"/>
      <c r="N78" s="92"/>
      <c r="O78" s="93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</row>
    <row r="79" s="94" customFormat="true" ht="26.15" hidden="false" customHeight="true" outlineLevel="0" collapsed="false">
      <c r="A79" s="124" t="s">
        <v>395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5"/>
      <c r="M79" s="92"/>
      <c r="N79" s="92"/>
      <c r="O79" s="93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</row>
    <row r="80" s="94" customFormat="true" ht="90" hidden="false" customHeight="true" outlineLevel="0" collapsed="false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7"/>
      <c r="M80" s="92"/>
      <c r="N80" s="92"/>
      <c r="O80" s="93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</row>
    <row r="81" s="94" customFormat="true" ht="26" hidden="false" customHeight="false" outlineLevel="0" collapsed="false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9"/>
      <c r="M81" s="92"/>
      <c r="N81" s="92"/>
      <c r="O81" s="93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</row>
    <row r="83" customFormat="false" ht="26" hidden="false" customHeight="false" outlineLevel="0" collapsed="false">
      <c r="L83" s="130"/>
    </row>
  </sheetData>
  <autoFilter ref="A7:AE79"/>
  <mergeCells count="20">
    <mergeCell ref="A1:K1"/>
    <mergeCell ref="A2:K2"/>
    <mergeCell ref="A3:K3"/>
    <mergeCell ref="A5:K5"/>
    <mergeCell ref="L5:L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A77:G77"/>
    <mergeCell ref="A78:G78"/>
    <mergeCell ref="A79:K79"/>
    <mergeCell ref="A80:K80"/>
    <mergeCell ref="A81:K81"/>
  </mergeCells>
  <conditionalFormatting sqref="H78:K78">
    <cfRule type="cellIs" priority="2" operator="equal" aboveAverage="0" equalAverage="0" bottom="0" percent="0" rank="0" text="" dxfId="0">
      <formula>1</formula>
    </cfRule>
  </conditionalFormatting>
  <conditionalFormatting sqref="L77">
    <cfRule type="cellIs" priority="3" operator="equal" aboveAverage="0" equalAverage="0" bottom="0" percent="0" rank="0" text="" dxfId="1">
      <formula>1</formula>
    </cfRule>
  </conditionalFormatting>
  <conditionalFormatting sqref="L78">
    <cfRule type="cellIs" priority="4" operator="equal" aboveAverage="0" equalAverage="0" bottom="0" percent="0" rank="0" text="" dxfId="2">
      <formula>1</formula>
    </cfRule>
  </conditionalFormatting>
  <dataValidations count="4">
    <dataValidation allowBlank="true" errorStyle="stop" operator="between" showDropDown="false" showErrorMessage="true" showInputMessage="true" sqref="B8:B69 B71:B76" type="list">
      <formula1>'Validação de dados'!$E$1:$E$6</formula1>
      <formula2>0</formula2>
    </dataValidation>
    <dataValidation allowBlank="true" errorStyle="stop" operator="between" showDropDown="false" showErrorMessage="true" showInputMessage="true" sqref="F8:F69 F71:F76" type="list">
      <formula1>'Validação de dados'!$A$1:$A$17</formula1>
      <formula2>0</formula2>
    </dataValidation>
    <dataValidation allowBlank="true" errorStyle="stop" operator="between" showDropDown="false" showErrorMessage="true" showInputMessage="true" sqref="E8:E69 E71:E76" type="list">
      <formula1>'Validação de dados'!$D$1:$D$16</formula1>
      <formula2>0</formula2>
    </dataValidation>
    <dataValidation allowBlank="true" errorStyle="stop" operator="between" showDropDown="false" showErrorMessage="true" showInputMessage="true" sqref="B70 E70:F70" type="list">
      <formula1>'[1]validação de dados'!#ref!</formula1>
      <formula2>0</formula2>
    </dataValidation>
  </dataValidations>
  <printOptions headings="false" gridLines="false" gridLinesSet="true" horizontalCentered="true" verticalCentered="false"/>
  <pageMargins left="0" right="0" top="0" bottom="0" header="0.511805555555555" footer="0.511805555555555"/>
  <pageSetup paperSize="9" scale="41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A1:K59"/>
  <sheetViews>
    <sheetView showFormulas="false" showGridLines="false" showRowColHeaders="true" showZeros="true" rightToLeft="false" tabSelected="false" showOutlineSymbols="true" defaultGridColor="true" view="normal" topLeftCell="A4" colorId="64" zoomScale="100" zoomScaleNormal="100" zoomScalePageLayoutView="80" workbookViewId="0">
      <pane xSplit="2" ySplit="4" topLeftCell="C8" activePane="bottomRight" state="frozen"/>
      <selection pane="topLeft" activeCell="A4" activeCellId="0" sqref="A4"/>
      <selection pane="topRight" activeCell="C4" activeCellId="0" sqref="C4"/>
      <selection pane="bottomLeft" activeCell="A8" activeCellId="0" sqref="A8"/>
      <selection pane="bottomRight" activeCell="B57" activeCellId="0" sqref="B57"/>
    </sheetView>
  </sheetViews>
  <sheetFormatPr defaultColWidth="9.19140625" defaultRowHeight="15.5" zeroHeight="true" outlineLevelRow="0" outlineLevelCol="0"/>
  <cols>
    <col collapsed="false" customWidth="true" hidden="false" outlineLevel="0" max="1" min="1" style="131" width="47.01"/>
    <col collapsed="false" customWidth="true" hidden="false" outlineLevel="0" max="4" min="2" style="131" width="21.45"/>
    <col collapsed="false" customWidth="true" hidden="false" outlineLevel="0" max="5" min="5" style="131" width="23.54"/>
    <col collapsed="false" customWidth="true" hidden="false" outlineLevel="0" max="6" min="6" style="131" width="21.45"/>
    <col collapsed="false" customWidth="true" hidden="false" outlineLevel="0" max="7" min="7" style="131" width="22.17"/>
    <col collapsed="false" customWidth="true" hidden="true" outlineLevel="0" max="8" min="8" style="132" width="18.82"/>
    <col collapsed="false" customWidth="true" hidden="true" outlineLevel="0" max="9" min="9" style="133" width="18.82"/>
    <col collapsed="false" customWidth="true" hidden="true" outlineLevel="0" max="11" min="10" style="132" width="18.82"/>
    <col collapsed="false" customWidth="false" hidden="true" outlineLevel="0" max="13" min="12" style="132" width="9.18"/>
    <col collapsed="false" customWidth="true" hidden="true" outlineLevel="0" max="26" min="14" style="132" width="11.52"/>
    <col collapsed="false" customWidth="false" hidden="true" outlineLevel="0" max="1024" min="27" style="132" width="9.18"/>
  </cols>
  <sheetData>
    <row r="1" customFormat="false" ht="118.5" hidden="false" customHeight="true" outlineLevel="0" collapsed="false">
      <c r="A1" s="134" t="s">
        <v>396</v>
      </c>
      <c r="B1" s="134"/>
      <c r="C1" s="134"/>
      <c r="D1" s="134"/>
      <c r="E1" s="134"/>
      <c r="F1" s="134"/>
      <c r="G1" s="134"/>
    </row>
    <row r="2" customFormat="false" ht="15.5" hidden="false" customHeight="false" outlineLevel="0" collapsed="false">
      <c r="A2" s="21" t="s">
        <v>397</v>
      </c>
      <c r="B2" s="21"/>
      <c r="C2" s="21"/>
      <c r="D2" s="21"/>
      <c r="E2" s="21"/>
      <c r="F2" s="21"/>
      <c r="G2" s="21"/>
    </row>
    <row r="3" s="135" customFormat="true" ht="15.5" hidden="false" customHeight="false" outlineLevel="0" collapsed="false">
      <c r="A3" s="21" t="s">
        <v>398</v>
      </c>
      <c r="B3" s="21"/>
      <c r="C3" s="21"/>
      <c r="D3" s="21"/>
      <c r="E3" s="21"/>
      <c r="F3" s="21"/>
      <c r="G3" s="21"/>
      <c r="I3" s="136"/>
    </row>
    <row r="4" s="135" customFormat="true" ht="15.5" hidden="false" customHeight="false" outlineLevel="0" collapsed="false">
      <c r="A4" s="137"/>
      <c r="B4" s="137"/>
      <c r="C4" s="137"/>
      <c r="D4" s="137"/>
      <c r="E4" s="137"/>
      <c r="F4" s="138" t="s">
        <v>399</v>
      </c>
      <c r="G4" s="139"/>
      <c r="I4" s="136"/>
    </row>
    <row r="5" customFormat="false" ht="15.5" hidden="false" customHeight="true" outlineLevel="0" collapsed="false">
      <c r="A5" s="102" t="s">
        <v>400</v>
      </c>
      <c r="B5" s="102"/>
      <c r="C5" s="140" t="s">
        <v>401</v>
      </c>
      <c r="D5" s="140" t="s">
        <v>402</v>
      </c>
      <c r="E5" s="102" t="s">
        <v>175</v>
      </c>
      <c r="F5" s="102"/>
      <c r="G5" s="141" t="s">
        <v>403</v>
      </c>
    </row>
    <row r="6" customFormat="false" ht="31" hidden="false" customHeight="false" outlineLevel="0" collapsed="false">
      <c r="A6" s="102"/>
      <c r="B6" s="102"/>
      <c r="C6" s="140"/>
      <c r="D6" s="140"/>
      <c r="E6" s="140" t="s">
        <v>404</v>
      </c>
      <c r="F6" s="141" t="s">
        <v>405</v>
      </c>
      <c r="G6" s="141"/>
    </row>
    <row r="7" customFormat="false" ht="15.5" hidden="false" customHeight="true" outlineLevel="0" collapsed="false">
      <c r="A7" s="98" t="s">
        <v>406</v>
      </c>
      <c r="B7" s="98"/>
      <c r="C7" s="142"/>
      <c r="D7" s="142"/>
      <c r="E7" s="142"/>
      <c r="F7" s="143"/>
      <c r="G7" s="143"/>
    </row>
    <row r="8" customFormat="false" ht="15.5" hidden="false" customHeight="true" outlineLevel="0" collapsed="false">
      <c r="A8" s="144" t="s">
        <v>407</v>
      </c>
      <c r="B8" s="144"/>
      <c r="C8" s="145" t="n">
        <f aca="false">C9+C19+C20+C21</f>
        <v>11559118.8</v>
      </c>
      <c r="D8" s="145" t="n">
        <f aca="false">D9+D19+D20+D21</f>
        <v>13051857.48</v>
      </c>
      <c r="E8" s="145" t="n">
        <f aca="false">D8-C8</f>
        <v>1492738.68</v>
      </c>
      <c r="F8" s="145" t="n">
        <f aca="false">IFERROR(E8/C8*100,)</f>
        <v>12.9139487691743</v>
      </c>
      <c r="G8" s="146" t="n">
        <f aca="false">IFERROR(D8/$D$25*100,0)</f>
        <v>71.2182583039898</v>
      </c>
      <c r="H8" s="147"/>
      <c r="I8" s="148"/>
      <c r="J8" s="147"/>
      <c r="K8" s="147"/>
    </row>
    <row r="9" customFormat="false" ht="15.5" hidden="false" customHeight="true" outlineLevel="0" collapsed="false">
      <c r="A9" s="149" t="s">
        <v>408</v>
      </c>
      <c r="B9" s="149"/>
      <c r="C9" s="145" t="n">
        <f aca="false">C10+C17+C18</f>
        <v>11068681.49</v>
      </c>
      <c r="D9" s="145" t="n">
        <f aca="false">D10+D17+D18</f>
        <v>12146281.48</v>
      </c>
      <c r="E9" s="145" t="n">
        <f aca="false">D9-C9</f>
        <v>1077599.99</v>
      </c>
      <c r="F9" s="145" t="n">
        <f aca="false">IFERROR(E9/C9*100,)</f>
        <v>9.73557682523934</v>
      </c>
      <c r="G9" s="146" t="n">
        <f aca="false">IFERROR(D9/$D$25*100,0)</f>
        <v>66.2769274948908</v>
      </c>
      <c r="H9" s="147"/>
      <c r="I9" s="148" t="e">
        <f aca="false">I10+I17+I18</f>
        <v>#REF!</v>
      </c>
      <c r="J9" s="150" t="e">
        <f aca="false">D9=I9</f>
        <v>#REF!</v>
      </c>
      <c r="K9" s="151" t="e">
        <f aca="false">D9-I9</f>
        <v>#REF!</v>
      </c>
    </row>
    <row r="10" customFormat="false" ht="15.5" hidden="false" customHeight="true" outlineLevel="0" collapsed="false">
      <c r="A10" s="149" t="s">
        <v>409</v>
      </c>
      <c r="B10" s="149"/>
      <c r="C10" s="145" t="n">
        <f aca="false">C11+C14</f>
        <v>4487852.32</v>
      </c>
      <c r="D10" s="145" t="n">
        <f aca="false">D11+D14</f>
        <v>5267324.15</v>
      </c>
      <c r="E10" s="145" t="n">
        <f aca="false">D10-C10</f>
        <v>779471.829999999</v>
      </c>
      <c r="F10" s="145" t="n">
        <f aca="false">IFERROR(E10/C10*100,)</f>
        <v>17.3684821696628</v>
      </c>
      <c r="G10" s="146" t="n">
        <f aca="false">IFERROR(D10/$D$25*100,0)</f>
        <v>28.7414762581014</v>
      </c>
      <c r="H10" s="147"/>
      <c r="I10" s="148" t="e">
        <f aca="false">I11+I14</f>
        <v>#REF!</v>
      </c>
      <c r="J10" s="150" t="e">
        <f aca="false">D10=I10</f>
        <v>#REF!</v>
      </c>
      <c r="K10" s="151" t="e">
        <f aca="false">D10-I10</f>
        <v>#REF!</v>
      </c>
    </row>
    <row r="11" customFormat="false" ht="15.5" hidden="false" customHeight="true" outlineLevel="0" collapsed="false">
      <c r="A11" s="149" t="s">
        <v>410</v>
      </c>
      <c r="B11" s="149"/>
      <c r="C11" s="110" t="n">
        <f aca="false">SUM(C12:C13)</f>
        <v>3892316.58</v>
      </c>
      <c r="D11" s="110" t="n">
        <f aca="false">SUM(D12:D13)</f>
        <v>4574729.55</v>
      </c>
      <c r="E11" s="145" t="n">
        <f aca="false">D11-C11</f>
        <v>682412.97</v>
      </c>
      <c r="F11" s="145" t="n">
        <f aca="false">IFERROR(E11/C11*100,)</f>
        <v>17.53230899836</v>
      </c>
      <c r="G11" s="146" t="n">
        <f aca="false">IFERROR(D11/$D$25*100,0)</f>
        <v>24.9622914793577</v>
      </c>
      <c r="H11" s="147"/>
      <c r="I11" s="148" t="e">
        <f aca="false">I12+I13</f>
        <v>#REF!</v>
      </c>
      <c r="J11" s="150" t="e">
        <f aca="false">D11=I11</f>
        <v>#REF!</v>
      </c>
      <c r="K11" s="151" t="e">
        <f aca="false">D11-I11</f>
        <v>#REF!</v>
      </c>
    </row>
    <row r="12" customFormat="false" ht="15.5" hidden="false" customHeight="true" outlineLevel="0" collapsed="false">
      <c r="A12" s="65" t="s">
        <v>411</v>
      </c>
      <c r="B12" s="65"/>
      <c r="C12" s="109" t="n">
        <v>3295161.96</v>
      </c>
      <c r="D12" s="109" t="n">
        <v>3584729.55</v>
      </c>
      <c r="E12" s="145" t="n">
        <f aca="false">D12-C12</f>
        <v>289567.59</v>
      </c>
      <c r="F12" s="145" t="n">
        <f aca="false">IFERROR(E12/C12*100,)</f>
        <v>8.78765880145084</v>
      </c>
      <c r="G12" s="146" t="n">
        <f aca="false">IFERROR(D12/$D$25*100,0)</f>
        <v>19.5602959527447</v>
      </c>
      <c r="H12" s="147"/>
      <c r="I12" s="148" t="e">
        <f aca="false">'Diretrizes - Resumo'!AK7</f>
        <v>#REF!</v>
      </c>
      <c r="J12" s="150" t="e">
        <f aca="false">D12=I12</f>
        <v>#REF!</v>
      </c>
      <c r="K12" s="151" t="e">
        <f aca="false">D12-I12</f>
        <v>#REF!</v>
      </c>
    </row>
    <row r="13" customFormat="false" ht="15.5" hidden="false" customHeight="true" outlineLevel="0" collapsed="false">
      <c r="A13" s="65" t="s">
        <v>412</v>
      </c>
      <c r="B13" s="65"/>
      <c r="C13" s="109" t="n">
        <v>597154.62</v>
      </c>
      <c r="D13" s="109" t="n">
        <v>990000</v>
      </c>
      <c r="E13" s="145" t="n">
        <f aca="false">D13-C13</f>
        <v>392845.38</v>
      </c>
      <c r="F13" s="145" t="n">
        <f aca="false">IFERROR(E13/C13*100,)</f>
        <v>65.7862079338849</v>
      </c>
      <c r="G13" s="146" t="n">
        <f aca="false">IFERROR(D13/$D$25*100,0)</f>
        <v>5.40199552661296</v>
      </c>
      <c r="H13" s="147"/>
      <c r="I13" s="148" t="e">
        <f aca="false">'Diretrizes - Resumo'!AK8</f>
        <v>#REF!</v>
      </c>
      <c r="J13" s="150" t="e">
        <f aca="false">D13=I13</f>
        <v>#REF!</v>
      </c>
      <c r="K13" s="151" t="e">
        <f aca="false">D13-I13</f>
        <v>#REF!</v>
      </c>
    </row>
    <row r="14" customFormat="false" ht="15.5" hidden="false" customHeight="true" outlineLevel="0" collapsed="false">
      <c r="A14" s="149" t="s">
        <v>413</v>
      </c>
      <c r="B14" s="149"/>
      <c r="C14" s="145" t="n">
        <f aca="false">SUM(C15:C16)</f>
        <v>595535.74</v>
      </c>
      <c r="D14" s="145" t="n">
        <f aca="false">SUM(D15:D16)</f>
        <v>692594.6</v>
      </c>
      <c r="E14" s="145" t="n">
        <f aca="false">D14-C14</f>
        <v>97058.86</v>
      </c>
      <c r="F14" s="145" t="n">
        <f aca="false">IFERROR(E14/C14*100,)</f>
        <v>16.2977389064844</v>
      </c>
      <c r="G14" s="146" t="n">
        <f aca="false">IFERROR(D14/$D$25*100,0)</f>
        <v>3.77918477874373</v>
      </c>
      <c r="H14" s="147"/>
      <c r="I14" s="148" t="e">
        <f aca="false">I15+I16</f>
        <v>#REF!</v>
      </c>
      <c r="J14" s="150" t="e">
        <f aca="false">D14=I14</f>
        <v>#REF!</v>
      </c>
      <c r="K14" s="151" t="e">
        <f aca="false">D14-I14</f>
        <v>#REF!</v>
      </c>
    </row>
    <row r="15" customFormat="false" ht="15.5" hidden="false" customHeight="true" outlineLevel="0" collapsed="false">
      <c r="A15" s="65" t="s">
        <v>414</v>
      </c>
      <c r="B15" s="65"/>
      <c r="C15" s="152" t="n">
        <v>459414.76</v>
      </c>
      <c r="D15" s="152" t="n">
        <v>492594.6</v>
      </c>
      <c r="E15" s="145" t="n">
        <f aca="false">D15-C15</f>
        <v>33179.84</v>
      </c>
      <c r="F15" s="145" t="n">
        <f aca="false">IFERROR(E15/C15*100,)</f>
        <v>7.22219721456054</v>
      </c>
      <c r="G15" s="146" t="n">
        <f aca="false">IFERROR(D15/$D$25*100,0)</f>
        <v>2.68787255114515</v>
      </c>
      <c r="H15" s="147"/>
      <c r="I15" s="148" t="e">
        <f aca="false">'Diretrizes - Resumo'!AK10</f>
        <v>#REF!</v>
      </c>
      <c r="J15" s="150" t="e">
        <f aca="false">D15=I15</f>
        <v>#REF!</v>
      </c>
      <c r="K15" s="151" t="e">
        <f aca="false">D15-I15</f>
        <v>#REF!</v>
      </c>
    </row>
    <row r="16" customFormat="false" ht="15.5" hidden="false" customHeight="true" outlineLevel="0" collapsed="false">
      <c r="A16" s="65" t="s">
        <v>415</v>
      </c>
      <c r="B16" s="65"/>
      <c r="C16" s="152" t="n">
        <v>136120.98</v>
      </c>
      <c r="D16" s="152" t="n">
        <v>200000</v>
      </c>
      <c r="E16" s="145" t="n">
        <f aca="false">D16-C16</f>
        <v>63879.02</v>
      </c>
      <c r="F16" s="145" t="n">
        <f aca="false">IFERROR(E16/C16*100,)</f>
        <v>46.9281223217758</v>
      </c>
      <c r="G16" s="146" t="n">
        <f aca="false">IFERROR(D16/$D$25*100,0)</f>
        <v>1.09131222759858</v>
      </c>
      <c r="H16" s="147"/>
      <c r="I16" s="148" t="e">
        <f aca="false">'Diretrizes - Resumo'!AK11</f>
        <v>#REF!</v>
      </c>
      <c r="J16" s="150" t="e">
        <f aca="false">D16=I16</f>
        <v>#REF!</v>
      </c>
      <c r="K16" s="151" t="e">
        <f aca="false">D16-I16</f>
        <v>#REF!</v>
      </c>
    </row>
    <row r="17" customFormat="false" ht="15.5" hidden="false" customHeight="true" outlineLevel="0" collapsed="false">
      <c r="A17" s="153" t="s">
        <v>416</v>
      </c>
      <c r="B17" s="153"/>
      <c r="C17" s="154" t="n">
        <v>6182917.44</v>
      </c>
      <c r="D17" s="154" t="n">
        <v>6433970.46</v>
      </c>
      <c r="E17" s="145" t="n">
        <f aca="false">D17-C17</f>
        <v>251053.02</v>
      </c>
      <c r="F17" s="145" t="n">
        <f aca="false">IFERROR(E17/C17*100,)</f>
        <v>4.06042976372008</v>
      </c>
      <c r="G17" s="146" t="n">
        <f aca="false">IFERROR(D17/$D$25*100,0)</f>
        <v>35.1073531750302</v>
      </c>
      <c r="H17" s="147"/>
      <c r="I17" s="148" t="e">
        <f aca="false">'Diretrizes - Resumo'!AK12</f>
        <v>#REF!</v>
      </c>
      <c r="J17" s="150" t="e">
        <f aca="false">D17=I17</f>
        <v>#REF!</v>
      </c>
      <c r="K17" s="151" t="e">
        <f aca="false">D17-I17</f>
        <v>#REF!</v>
      </c>
    </row>
    <row r="18" customFormat="false" ht="15.5" hidden="false" customHeight="true" outlineLevel="0" collapsed="false">
      <c r="A18" s="153" t="s">
        <v>417</v>
      </c>
      <c r="B18" s="153"/>
      <c r="C18" s="154" t="n">
        <v>397911.73</v>
      </c>
      <c r="D18" s="154" t="n">
        <v>444986.87</v>
      </c>
      <c r="E18" s="145" t="n">
        <f aca="false">D18-C18</f>
        <v>47075.14</v>
      </c>
      <c r="F18" s="145" t="n">
        <f aca="false">IFERROR(E18/C18*100,)</f>
        <v>11.8305484485215</v>
      </c>
      <c r="G18" s="146" t="n">
        <f aca="false">IFERROR(D18/$D$25*100,0)</f>
        <v>2.42809806175909</v>
      </c>
      <c r="H18" s="147"/>
      <c r="I18" s="148" t="e">
        <f aca="false">'Diretrizes - Resumo'!AK13</f>
        <v>#REF!</v>
      </c>
      <c r="J18" s="150" t="e">
        <f aca="false">D18=I18</f>
        <v>#REF!</v>
      </c>
      <c r="K18" s="151" t="e">
        <f aca="false">D18-I18</f>
        <v>#REF!</v>
      </c>
    </row>
    <row r="19" customFormat="false" ht="15.5" hidden="false" customHeight="true" outlineLevel="0" collapsed="false">
      <c r="A19" s="153" t="s">
        <v>418</v>
      </c>
      <c r="B19" s="153"/>
      <c r="C19" s="154" t="n">
        <v>434453.18</v>
      </c>
      <c r="D19" s="154" t="n">
        <v>850000</v>
      </c>
      <c r="E19" s="145" t="n">
        <f aca="false">D19-C19</f>
        <v>415546.82</v>
      </c>
      <c r="F19" s="145" t="n">
        <f aca="false">IFERROR(E19/C19*100,)</f>
        <v>95.6482399323214</v>
      </c>
      <c r="G19" s="146" t="n">
        <f aca="false">IFERROR(D19/$D$25*100,0)</f>
        <v>4.63807696729396</v>
      </c>
      <c r="H19" s="147"/>
      <c r="I19" s="148"/>
      <c r="J19" s="147"/>
      <c r="K19" s="147"/>
    </row>
    <row r="20" customFormat="false" ht="15.5" hidden="false" customHeight="true" outlineLevel="0" collapsed="false">
      <c r="A20" s="153" t="s">
        <v>419</v>
      </c>
      <c r="B20" s="153"/>
      <c r="C20" s="155" t="n">
        <v>55984.13</v>
      </c>
      <c r="D20" s="155" t="n">
        <v>55576</v>
      </c>
      <c r="E20" s="145" t="n">
        <f aca="false">D20-C20</f>
        <v>-408.129999999997</v>
      </c>
      <c r="F20" s="145" t="n">
        <f aca="false">IFERROR(E20/C20*100,)</f>
        <v>-0.729010167702878</v>
      </c>
      <c r="G20" s="146" t="n">
        <f aca="false">IFERROR(D20/$D$25*100,0)</f>
        <v>0.303253841805093</v>
      </c>
      <c r="H20" s="147"/>
      <c r="I20" s="148"/>
      <c r="J20" s="147"/>
      <c r="K20" s="147"/>
    </row>
    <row r="21" customFormat="false" ht="15.5" hidden="false" customHeight="true" outlineLevel="0" collapsed="false">
      <c r="A21" s="153" t="s">
        <v>420</v>
      </c>
      <c r="B21" s="153"/>
      <c r="C21" s="155" t="n">
        <v>0</v>
      </c>
      <c r="D21" s="155" t="n">
        <v>0</v>
      </c>
      <c r="E21" s="145" t="n">
        <f aca="false">D21-C21</f>
        <v>0</v>
      </c>
      <c r="F21" s="145" t="n">
        <f aca="false">IFERROR(E21/C21*100,)</f>
        <v>0</v>
      </c>
      <c r="G21" s="146" t="n">
        <f aca="false">IFERROR(D21/$D$25*100,0)</f>
        <v>0</v>
      </c>
      <c r="H21" s="147"/>
      <c r="I21" s="148"/>
      <c r="J21" s="147"/>
      <c r="K21" s="147"/>
    </row>
    <row r="22" customFormat="false" ht="15.5" hidden="false" customHeight="true" outlineLevel="0" collapsed="false">
      <c r="A22" s="144" t="s">
        <v>421</v>
      </c>
      <c r="B22" s="144"/>
      <c r="C22" s="145" t="n">
        <f aca="false">SUM(C23:C24)</f>
        <v>4370295.24</v>
      </c>
      <c r="D22" s="145" t="n">
        <f aca="false">SUM(D23:D24)</f>
        <v>5274703.42</v>
      </c>
      <c r="E22" s="145" t="n">
        <f aca="false">D22-C22</f>
        <v>904408.18</v>
      </c>
      <c r="F22" s="145" t="n">
        <f aca="false">IFERROR(E22/C22*100,)</f>
        <v>20.6944412295587</v>
      </c>
      <c r="G22" s="146" t="n">
        <f aca="false">IFERROR(D22/$D$25*100,0)</f>
        <v>28.7817416960102</v>
      </c>
      <c r="H22" s="147"/>
      <c r="I22" s="148"/>
      <c r="J22" s="147"/>
      <c r="K22" s="147"/>
    </row>
    <row r="23" customFormat="false" ht="15.5" hidden="false" customHeight="true" outlineLevel="0" collapsed="false">
      <c r="A23" s="153" t="s">
        <v>422</v>
      </c>
      <c r="B23" s="153"/>
      <c r="C23" s="155" t="n">
        <v>4370295.24</v>
      </c>
      <c r="D23" s="155" t="n">
        <f aca="false">4095000+1194703.42-15000</f>
        <v>5274703.42</v>
      </c>
      <c r="E23" s="145" t="n">
        <f aca="false">D23-C23</f>
        <v>904408.18</v>
      </c>
      <c r="F23" s="145" t="n">
        <f aca="false">IFERROR(E23/C23*100,)</f>
        <v>20.6944412295587</v>
      </c>
      <c r="G23" s="146" t="n">
        <f aca="false">IFERROR(D23/$D$25*100,0)</f>
        <v>28.7817416960102</v>
      </c>
      <c r="H23" s="147"/>
      <c r="I23" s="148" t="e">
        <f aca="false">'Diretrizes - Resumo'!AN9</f>
        <v>#REF!</v>
      </c>
      <c r="J23" s="150" t="e">
        <f aca="false">I23&lt;=D23</f>
        <v>#REF!</v>
      </c>
      <c r="K23" s="151" t="e">
        <f aca="false">D23-I23</f>
        <v>#REF!</v>
      </c>
    </row>
    <row r="24" customFormat="false" ht="15.5" hidden="false" customHeight="true" outlineLevel="0" collapsed="false">
      <c r="A24" s="153" t="s">
        <v>423</v>
      </c>
      <c r="B24" s="153"/>
      <c r="C24" s="155" t="n">
        <v>0</v>
      </c>
      <c r="D24" s="155"/>
      <c r="E24" s="145" t="n">
        <f aca="false">D24-C24</f>
        <v>0</v>
      </c>
      <c r="F24" s="145" t="n">
        <f aca="false">IFERROR(E24/C24*100,)</f>
        <v>0</v>
      </c>
      <c r="G24" s="146" t="n">
        <f aca="false">IFERROR(D24/$D$25*100,0)</f>
        <v>0</v>
      </c>
      <c r="H24" s="147"/>
      <c r="I24" s="148"/>
      <c r="J24" s="147"/>
      <c r="K24" s="147"/>
    </row>
    <row r="25" customFormat="false" ht="15.5" hidden="false" customHeight="true" outlineLevel="0" collapsed="false">
      <c r="A25" s="144" t="s">
        <v>424</v>
      </c>
      <c r="B25" s="144"/>
      <c r="C25" s="145" t="n">
        <f aca="false">SUM(C8,C22)</f>
        <v>15929414.04</v>
      </c>
      <c r="D25" s="145" t="n">
        <f aca="false">SUM(D8,D22)</f>
        <v>18326560.9</v>
      </c>
      <c r="E25" s="145" t="n">
        <f aca="false">D25-C25</f>
        <v>2397146.86</v>
      </c>
      <c r="F25" s="145" t="n">
        <f aca="false">IFERROR(E25/C25*100,)</f>
        <v>15.0485564251175</v>
      </c>
      <c r="G25" s="146" t="n">
        <f aca="false">IFERROR(D25/$D$25*100,0)</f>
        <v>100</v>
      </c>
      <c r="H25" s="147"/>
      <c r="I25" s="148"/>
      <c r="J25" s="147"/>
      <c r="K25" s="147"/>
    </row>
    <row r="26" customFormat="false" ht="15.5" hidden="false" customHeight="true" outlineLevel="0" collapsed="false">
      <c r="A26" s="98" t="s">
        <v>425</v>
      </c>
      <c r="B26" s="98"/>
      <c r="C26" s="156"/>
      <c r="D26" s="156"/>
      <c r="E26" s="156"/>
      <c r="F26" s="156"/>
      <c r="G26" s="157"/>
      <c r="H26" s="147"/>
      <c r="I26" s="148"/>
      <c r="J26" s="147"/>
      <c r="K26" s="147"/>
    </row>
    <row r="27" customFormat="false" ht="15.5" hidden="false" customHeight="true" outlineLevel="0" collapsed="false">
      <c r="A27" s="149" t="s">
        <v>426</v>
      </c>
      <c r="B27" s="149"/>
      <c r="C27" s="158" t="n">
        <f aca="false">SUM(C28:C30)</f>
        <v>14676552.11</v>
      </c>
      <c r="D27" s="145" t="n">
        <f aca="false">SUM(D28:D30)</f>
        <v>16891691.31</v>
      </c>
      <c r="E27" s="145" t="n">
        <f aca="false">D27-C27</f>
        <v>2215139.2</v>
      </c>
      <c r="F27" s="145" t="n">
        <f aca="false">IFERROR(E27/C27*100,)</f>
        <v>15.0930489899647</v>
      </c>
      <c r="G27" s="146" t="n">
        <f aca="false">IFERROR(D27/$D$34*100,0)</f>
        <v>92.1705463339832</v>
      </c>
      <c r="H27" s="147"/>
      <c r="I27" s="148"/>
      <c r="J27" s="147"/>
      <c r="K27" s="147"/>
    </row>
    <row r="28" customFormat="false" ht="15.5" hidden="false" customHeight="true" outlineLevel="0" collapsed="false">
      <c r="A28" s="149" t="s">
        <v>427</v>
      </c>
      <c r="B28" s="149"/>
      <c r="C28" s="159" t="n">
        <v>482626</v>
      </c>
      <c r="D28" s="159" t="n">
        <f aca="false">SUMIF('Quadro Geral'!$B$8:$B$77,"p",'Quadro Geral'!I8:I77)</f>
        <v>4200711</v>
      </c>
      <c r="E28" s="145" t="n">
        <f aca="false">D28-C28</f>
        <v>3718085</v>
      </c>
      <c r="F28" s="145" t="n">
        <f aca="false">IFERROR(E28/C28*100,)</f>
        <v>770.386386145794</v>
      </c>
      <c r="G28" s="146" t="n">
        <f aca="false">IFERROR(D28/$D$34*100,0)</f>
        <v>22.9214363887859</v>
      </c>
      <c r="H28" s="147"/>
      <c r="I28" s="148"/>
      <c r="J28" s="147"/>
      <c r="K28" s="147"/>
    </row>
    <row r="29" customFormat="false" ht="15.5" hidden="false" customHeight="true" outlineLevel="0" collapsed="false">
      <c r="A29" s="149" t="s">
        <v>428</v>
      </c>
      <c r="B29" s="149"/>
      <c r="C29" s="159" t="n">
        <v>4140295.24</v>
      </c>
      <c r="D29" s="159" t="n">
        <f aca="false">SUMIF('Quadro Geral'!$B$8:$B$77,"pe",'Quadro Geral'!I8:I77)</f>
        <v>1329703.42</v>
      </c>
      <c r="E29" s="145" t="n">
        <f aca="false">D29-C29</f>
        <v>-2810591.82</v>
      </c>
      <c r="F29" s="145" t="n">
        <f aca="false">IFERROR(E29/C29*100,)</f>
        <v>-67.8838502347963</v>
      </c>
      <c r="G29" s="146" t="n">
        <f aca="false">IFERROR(D29/$D$34*100,0)</f>
        <v>7.25560800480707</v>
      </c>
      <c r="H29" s="147"/>
      <c r="I29" s="148"/>
      <c r="J29" s="147"/>
      <c r="K29" s="147"/>
    </row>
    <row r="30" customFormat="false" ht="15.5" hidden="false" customHeight="true" outlineLevel="0" collapsed="false">
      <c r="A30" s="149" t="s">
        <v>429</v>
      </c>
      <c r="B30" s="149"/>
      <c r="C30" s="159" t="n">
        <v>10053630.87</v>
      </c>
      <c r="D30" s="159" t="n">
        <f aca="false">SUMIF('Quadro Geral'!$B$8:$B$77,"a",'Quadro Geral'!I8:I77)-D31-D32-D33</f>
        <v>11361276.89</v>
      </c>
      <c r="E30" s="145" t="n">
        <f aca="false">D30-C30</f>
        <v>1307646.02</v>
      </c>
      <c r="F30" s="145" t="n">
        <f aca="false">IFERROR(E30/C30*100,)</f>
        <v>13.006704114252</v>
      </c>
      <c r="G30" s="146" t="n">
        <f aca="false">IFERROR(D30/$D$34*100,0)</f>
        <v>61.9935019403902</v>
      </c>
      <c r="H30" s="147"/>
      <c r="I30" s="148"/>
      <c r="J30" s="147"/>
      <c r="K30" s="147"/>
    </row>
    <row r="31" customFormat="false" ht="15.5" hidden="false" customHeight="true" outlineLevel="0" collapsed="false">
      <c r="A31" s="153" t="s">
        <v>430</v>
      </c>
      <c r="B31" s="153"/>
      <c r="C31" s="154" t="n">
        <v>241349.58</v>
      </c>
      <c r="D31" s="154" t="n">
        <f aca="false">'Quadro Geral'!I43</f>
        <v>210770.87</v>
      </c>
      <c r="E31" s="145" t="n">
        <f aca="false">D31-C31</f>
        <v>-30578.71</v>
      </c>
      <c r="F31" s="145" t="n">
        <f aca="false">IFERROR(E31/C31*100,)</f>
        <v>-12.6698832457053</v>
      </c>
      <c r="G31" s="146" t="n">
        <f aca="false">IFERROR(D31/$D$34*100,0)</f>
        <v>1.15008413797428</v>
      </c>
      <c r="H31" s="147"/>
      <c r="I31" s="148"/>
      <c r="J31" s="147"/>
      <c r="K31" s="147"/>
    </row>
    <row r="32" customFormat="false" ht="15.5" hidden="false" customHeight="true" outlineLevel="0" collapsed="false">
      <c r="A32" s="153" t="s">
        <v>431</v>
      </c>
      <c r="B32" s="153"/>
      <c r="C32" s="154" t="n">
        <v>857940.28</v>
      </c>
      <c r="D32" s="154" t="n">
        <f aca="false">'Quadro Geral'!I32+'Quadro Geral'!I25</f>
        <v>1018215.8</v>
      </c>
      <c r="E32" s="145" t="n">
        <f aca="false">D32-C32</f>
        <v>160275.52</v>
      </c>
      <c r="F32" s="145" t="n">
        <f aca="false">IFERROR(E32/C32*100,)</f>
        <v>18.6814308333909</v>
      </c>
      <c r="G32" s="146" t="n">
        <f aca="false">IFERROR(D32/$D$34*100,0)</f>
        <v>5.55595676297579</v>
      </c>
      <c r="H32" s="147"/>
      <c r="I32" s="148"/>
      <c r="J32" s="147"/>
      <c r="K32" s="147"/>
    </row>
    <row r="33" customFormat="false" ht="15.5" hidden="false" customHeight="true" outlineLevel="0" collapsed="false">
      <c r="A33" s="153" t="s">
        <v>432</v>
      </c>
      <c r="B33" s="153"/>
      <c r="C33" s="154" t="n">
        <v>153572.07</v>
      </c>
      <c r="D33" s="154" t="n">
        <f aca="false">'Quadro Geral'!I46</f>
        <v>205882.9246</v>
      </c>
      <c r="E33" s="145" t="n">
        <f aca="false">D33-C33</f>
        <v>52310.8546</v>
      </c>
      <c r="F33" s="145" t="n">
        <f aca="false">IFERROR(E33/C33*100,)</f>
        <v>34.0627397937659</v>
      </c>
      <c r="G33" s="146" t="n">
        <f aca="false">IFERROR(D33/$D$34*100,0)</f>
        <v>1.1234127650667</v>
      </c>
      <c r="H33" s="147"/>
      <c r="I33" s="148"/>
      <c r="J33" s="147"/>
      <c r="K33" s="147"/>
    </row>
    <row r="34" customFormat="false" ht="15.5" hidden="false" customHeight="true" outlineLevel="0" collapsed="false">
      <c r="A34" s="144" t="s">
        <v>433</v>
      </c>
      <c r="B34" s="144"/>
      <c r="C34" s="145" t="n">
        <f aca="false">SUM(C27,C31:C33)</f>
        <v>15929414.04</v>
      </c>
      <c r="D34" s="145" t="n">
        <f aca="false">SUM(D27,D31:D33)</f>
        <v>18326560.9046</v>
      </c>
      <c r="E34" s="145" t="n">
        <f aca="false">D34-C34</f>
        <v>2397146.8646</v>
      </c>
      <c r="F34" s="160" t="n">
        <f aca="false">IFERROR(E34/C34*100,)</f>
        <v>15.048556453995</v>
      </c>
      <c r="G34" s="146" t="n">
        <f aca="false">IFERROR(D34/$D$34*100,0)</f>
        <v>100</v>
      </c>
      <c r="H34" s="147"/>
      <c r="I34" s="148"/>
      <c r="J34" s="147"/>
      <c r="K34" s="147"/>
    </row>
    <row r="35" customFormat="false" ht="15.5" hidden="false" customHeight="true" outlineLevel="0" collapsed="false">
      <c r="A35" s="161" t="s">
        <v>434</v>
      </c>
      <c r="B35" s="161"/>
      <c r="C35" s="162" t="n">
        <f aca="false">C25-C34</f>
        <v>0</v>
      </c>
      <c r="D35" s="162" t="n">
        <f aca="false">D25-D34</f>
        <v>-0.00459999963641167</v>
      </c>
      <c r="E35" s="162" t="n">
        <f aca="false">D35-C35</f>
        <v>-0.00459999963641167</v>
      </c>
      <c r="F35" s="162"/>
      <c r="G35" s="163"/>
      <c r="H35" s="147"/>
      <c r="I35" s="148"/>
      <c r="J35" s="147"/>
      <c r="K35" s="147"/>
    </row>
    <row r="36" customFormat="false" ht="15.5" hidden="false" customHeight="false" outlineLevel="0" collapsed="false">
      <c r="A36" s="164"/>
      <c r="B36" s="164"/>
      <c r="C36" s="165" t="n">
        <f aca="false">C34='Quadro Geral'!H77</f>
        <v>1</v>
      </c>
      <c r="D36" s="165" t="n">
        <f aca="false">D34='Quadro Geral'!I77</f>
        <v>1</v>
      </c>
      <c r="E36" s="165" t="n">
        <f aca="false">E34='Quadro Geral'!J77</f>
        <v>1</v>
      </c>
      <c r="F36" s="165" t="n">
        <f aca="false">F34='Quadro Geral'!K77</f>
        <v>1</v>
      </c>
      <c r="G36" s="166"/>
    </row>
    <row r="37" customFormat="false" ht="15.5" hidden="false" customHeight="true" outlineLevel="0" collapsed="false">
      <c r="A37" s="167" t="s">
        <v>435</v>
      </c>
      <c r="B37" s="167"/>
      <c r="C37" s="167"/>
      <c r="D37" s="167"/>
      <c r="E37" s="167"/>
      <c r="F37" s="167"/>
      <c r="G37" s="167"/>
    </row>
    <row r="38" customFormat="false" ht="15.5" hidden="false" customHeight="true" outlineLevel="0" collapsed="false">
      <c r="A38" s="168" t="s">
        <v>436</v>
      </c>
      <c r="B38" s="102" t="s">
        <v>437</v>
      </c>
      <c r="C38" s="102"/>
      <c r="D38" s="102"/>
      <c r="E38" s="102" t="s">
        <v>438</v>
      </c>
      <c r="F38" s="102"/>
      <c r="G38" s="102"/>
    </row>
    <row r="39" customFormat="false" ht="46.5" hidden="false" customHeight="false" outlineLevel="0" collapsed="false">
      <c r="A39" s="168"/>
      <c r="B39" s="102" t="s">
        <v>439</v>
      </c>
      <c r="C39" s="102" t="s">
        <v>440</v>
      </c>
      <c r="D39" s="102" t="s">
        <v>441</v>
      </c>
      <c r="E39" s="102" t="s">
        <v>439</v>
      </c>
      <c r="F39" s="102" t="s">
        <v>440</v>
      </c>
      <c r="G39" s="102" t="s">
        <v>441</v>
      </c>
    </row>
    <row r="40" customFormat="false" ht="15.5" hidden="false" customHeight="false" outlineLevel="0" collapsed="false">
      <c r="A40" s="169" t="s">
        <v>442</v>
      </c>
      <c r="B40" s="170" t="n">
        <f aca="false">C8</f>
        <v>11559118.8</v>
      </c>
      <c r="C40" s="170" t="n">
        <f aca="false">D8</f>
        <v>13051857.48</v>
      </c>
      <c r="D40" s="171" t="n">
        <f aca="false">IFERROR(C40/B40*100-100,)</f>
        <v>12.9139487691743</v>
      </c>
      <c r="E40" s="172" t="n">
        <v>11999414.04</v>
      </c>
      <c r="F40" s="170" t="n">
        <f aca="false">'Anexo 3.Elemento de Despesas'!N75</f>
        <v>14231560.9046</v>
      </c>
      <c r="G40" s="171" t="n">
        <f aca="false">IFERROR(F40/E40*100-100,)</f>
        <v>18.6021322137826</v>
      </c>
    </row>
    <row r="41" customFormat="false" ht="15.5" hidden="false" customHeight="false" outlineLevel="0" collapsed="false">
      <c r="A41" s="169" t="s">
        <v>443</v>
      </c>
      <c r="B41" s="170" t="n">
        <f aca="false">C22</f>
        <v>4370295.24</v>
      </c>
      <c r="C41" s="170" t="n">
        <f aca="false">D22</f>
        <v>5274703.42</v>
      </c>
      <c r="D41" s="171" t="n">
        <f aca="false">IFERROR(C41/B41*100-100,)</f>
        <v>20.6944412295587</v>
      </c>
      <c r="E41" s="172" t="n">
        <v>3930000</v>
      </c>
      <c r="F41" s="170" t="n">
        <f aca="false">'Anexo 3.Elemento de Despesas'!O75</f>
        <v>4095000</v>
      </c>
      <c r="G41" s="171" t="n">
        <f aca="false">IFERROR(F41/E41*100-100,)</f>
        <v>4.19847328244273</v>
      </c>
    </row>
    <row r="42" customFormat="false" ht="15.5" hidden="false" customHeight="false" outlineLevel="0" collapsed="false">
      <c r="A42" s="173" t="s">
        <v>444</v>
      </c>
      <c r="B42" s="174" t="n">
        <f aca="false">SUM(B40:B41)</f>
        <v>15929414.04</v>
      </c>
      <c r="C42" s="174" t="n">
        <f aca="false">SUM(C40:C41)</f>
        <v>18326560.9</v>
      </c>
      <c r="D42" s="175" t="n">
        <f aca="false">IFERROR(C42/B42*100-100,)</f>
        <v>15.0485564251175</v>
      </c>
      <c r="E42" s="174" t="n">
        <f aca="false">SUM(E40:E41)</f>
        <v>15929414.04</v>
      </c>
      <c r="F42" s="174" t="n">
        <f aca="false">SUM(F40:F41)</f>
        <v>18326560.9046</v>
      </c>
      <c r="G42" s="175" t="n">
        <f aca="false">IFERROR(F42/E42*100-100,)</f>
        <v>15.0485564539949</v>
      </c>
    </row>
    <row r="43" customFormat="false" ht="15.5" hidden="false" customHeight="false" outlineLevel="0" collapsed="false">
      <c r="A43" s="176"/>
      <c r="B43" s="176"/>
      <c r="C43" s="176"/>
      <c r="D43" s="176"/>
      <c r="E43" s="176"/>
      <c r="F43" s="176"/>
      <c r="G43" s="176"/>
    </row>
    <row r="44" customFormat="false" ht="31" hidden="false" customHeight="false" outlineLevel="0" collapsed="false">
      <c r="A44" s="102" t="s">
        <v>400</v>
      </c>
      <c r="B44" s="102" t="s">
        <v>445</v>
      </c>
      <c r="C44" s="102" t="s">
        <v>446</v>
      </c>
      <c r="D44" s="102" t="s">
        <v>447</v>
      </c>
    </row>
    <row r="45" customFormat="false" ht="15.5" hidden="false" customHeight="false" outlineLevel="0" collapsed="false">
      <c r="A45" s="168" t="s">
        <v>448</v>
      </c>
      <c r="B45" s="177" t="n">
        <f aca="false">D8</f>
        <v>13051857.48</v>
      </c>
      <c r="C45" s="177" t="n">
        <f aca="false">D22</f>
        <v>5274703.42</v>
      </c>
      <c r="D45" s="177" t="n">
        <f aca="false">SUM(B45:C45)</f>
        <v>18326560.9</v>
      </c>
    </row>
    <row r="46" customFormat="false" ht="15.5" hidden="false" customHeight="false" outlineLevel="0" collapsed="false">
      <c r="A46" s="168" t="s">
        <v>449</v>
      </c>
      <c r="B46" s="177" t="n">
        <f aca="false">'Anexo 3.Elemento de Despesas'!N75</f>
        <v>14231560.9046</v>
      </c>
      <c r="C46" s="177" t="n">
        <f aca="false">'Anexo 3.Elemento de Despesas'!O75</f>
        <v>4095000</v>
      </c>
      <c r="D46" s="177" t="n">
        <f aca="false">SUM(B46:C46)</f>
        <v>18326560.9046</v>
      </c>
    </row>
    <row r="47" customFormat="false" ht="15.5" hidden="false" customHeight="false" outlineLevel="0" collapsed="false">
      <c r="A47" s="98" t="s">
        <v>434</v>
      </c>
      <c r="B47" s="99" t="n">
        <f aca="false">B45-B46</f>
        <v>-1179703.4246</v>
      </c>
      <c r="C47" s="99" t="n">
        <f aca="false">C45-C46</f>
        <v>1179703.42</v>
      </c>
      <c r="D47" s="99" t="n">
        <f aca="false">D45-D46</f>
        <v>-0.00459999591112137</v>
      </c>
    </row>
    <row r="48" customFormat="false" ht="15.5" hidden="false" customHeight="false" outlineLevel="0" collapsed="false"/>
    <row r="49" customFormat="false" ht="18" hidden="false" customHeight="true" outlineLevel="0" collapsed="false">
      <c r="A49" s="102" t="s">
        <v>450</v>
      </c>
      <c r="B49" s="102" t="s">
        <v>451</v>
      </c>
    </row>
    <row r="50" customFormat="false" ht="15.5" hidden="false" customHeight="false" outlineLevel="0" collapsed="false">
      <c r="A50" s="102" t="s">
        <v>452</v>
      </c>
      <c r="B50" s="178" t="n">
        <v>13887338.05</v>
      </c>
      <c r="E50" s="179"/>
      <c r="F50" s="180"/>
    </row>
    <row r="51" customFormat="false" ht="15.5" hidden="false" customHeight="false" outlineLevel="0" collapsed="false">
      <c r="A51" s="102" t="s">
        <v>453</v>
      </c>
      <c r="B51" s="177" t="n">
        <f aca="false">C46-150000</f>
        <v>3945000</v>
      </c>
      <c r="C51" s="181"/>
      <c r="E51" s="179"/>
      <c r="F51" s="180"/>
      <c r="G51" s="182"/>
    </row>
    <row r="52" customFormat="false" ht="15.5" hidden="false" customHeight="false" outlineLevel="0" collapsed="false">
      <c r="A52" s="102" t="s">
        <v>454</v>
      </c>
      <c r="B52" s="183" t="n">
        <f aca="false">C47+150000</f>
        <v>1329703.42</v>
      </c>
      <c r="C52" s="181"/>
      <c r="E52" s="179"/>
      <c r="F52" s="180"/>
      <c r="G52" s="181"/>
    </row>
    <row r="53" customFormat="false" ht="15.5" hidden="false" customHeight="false" outlineLevel="0" collapsed="false">
      <c r="A53" s="102" t="s">
        <v>455</v>
      </c>
      <c r="B53" s="177" t="n">
        <f aca="false">B50-B51-B52</f>
        <v>8612634.63</v>
      </c>
    </row>
    <row r="54" customFormat="false" ht="15.5" hidden="false" customHeight="false" outlineLevel="0" collapsed="false">
      <c r="A54" s="102" t="s">
        <v>456</v>
      </c>
      <c r="B54" s="184" t="n">
        <f aca="false">IFERROR(B51/B50,)</f>
        <v>0.284071719561835</v>
      </c>
    </row>
    <row r="55" customFormat="false" ht="15.5" hidden="false" customHeight="false" outlineLevel="0" collapsed="false">
      <c r="A55" s="102" t="s">
        <v>457</v>
      </c>
      <c r="B55" s="184" t="n">
        <f aca="false">IFERROR(B52/B50,)</f>
        <v>0.0957493376493417</v>
      </c>
    </row>
    <row r="56" customFormat="false" ht="15.5" hidden="false" customHeight="false" outlineLevel="0" collapsed="false">
      <c r="A56" s="44" t="s">
        <v>458</v>
      </c>
      <c r="B56" s="185"/>
    </row>
    <row r="57" customFormat="false" ht="15.5" hidden="false" customHeight="false" outlineLevel="0" collapsed="false"/>
    <row r="58" customFormat="false" ht="15.5" hidden="false" customHeight="true" outlineLevel="0" collapsed="false">
      <c r="A58" s="43" t="s">
        <v>395</v>
      </c>
      <c r="B58" s="43"/>
      <c r="C58" s="43"/>
      <c r="D58" s="43"/>
      <c r="E58" s="43"/>
      <c r="F58" s="43"/>
      <c r="G58" s="43"/>
    </row>
    <row r="59" customFormat="false" ht="90.65" hidden="false" customHeight="true" outlineLevel="0" collapsed="false">
      <c r="A59" s="65" t="s">
        <v>459</v>
      </c>
      <c r="B59" s="65"/>
      <c r="C59" s="65"/>
      <c r="D59" s="65"/>
      <c r="E59" s="65"/>
      <c r="F59" s="65"/>
      <c r="G59" s="65"/>
    </row>
  </sheetData>
  <mergeCells count="44">
    <mergeCell ref="A1:G1"/>
    <mergeCell ref="A2:G2"/>
    <mergeCell ref="A3:G3"/>
    <mergeCell ref="A4:E4"/>
    <mergeCell ref="A5:B6"/>
    <mergeCell ref="C5:C6"/>
    <mergeCell ref="D5:D6"/>
    <mergeCell ref="E5:F5"/>
    <mergeCell ref="G5:G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7:G37"/>
    <mergeCell ref="B38:D38"/>
    <mergeCell ref="E38:G38"/>
    <mergeCell ref="A43:G43"/>
    <mergeCell ref="A58:G58"/>
    <mergeCell ref="A59:G59"/>
  </mergeCells>
  <conditionalFormatting sqref="C36:F36">
    <cfRule type="cellIs" priority="2" operator="equal" aboveAverage="0" equalAverage="0" bottom="0" percent="0" rank="0" text="" dxfId="3">
      <formula>1</formula>
    </cfRule>
  </conditionalFormatting>
  <conditionalFormatting sqref="J9:J18">
    <cfRule type="cellIs" priority="3" operator="equal" aboveAverage="0" equalAverage="0" bottom="0" percent="0" rank="0" text="" dxfId="4">
      <formula>1</formula>
    </cfRule>
    <cfRule type="cellIs" priority="4" operator="equal" aboveAverage="0" equalAverage="0" bottom="0" percent="0" rank="0" text="" dxfId="5">
      <formula>0</formula>
    </cfRule>
  </conditionalFormatting>
  <conditionalFormatting sqref="J23">
    <cfRule type="cellIs" priority="5" operator="equal" aboveAverage="0" equalAverage="0" bottom="0" percent="0" rank="0" text="" dxfId="6">
      <formula>0</formula>
    </cfRule>
    <cfRule type="cellIs" priority="6" operator="equal" aboveAverage="0" equalAverage="0" bottom="0" percent="0" rank="0" text="" dxfId="7">
      <formula>1</formula>
    </cfRule>
    <cfRule type="cellIs" priority="7" operator="equal" aboveAverage="0" equalAverage="0" bottom="0" percent="0" rank="0" text="" dxfId="8">
      <formula>0</formula>
    </cfRule>
  </conditionalFormatting>
  <printOptions headings="false" gridLines="false" gridLinesSet="true" horizontalCentered="true" verticalCentered="false"/>
  <pageMargins left="0.39375" right="0.39375" top="0.39375" bottom="0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A1:R28"/>
  <sheetViews>
    <sheetView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M14" activeCellId="0" sqref="M14"/>
    </sheetView>
  </sheetViews>
  <sheetFormatPr defaultColWidth="9.19140625" defaultRowHeight="26" zeroHeight="true" outlineLevelRow="0" outlineLevelCol="0"/>
  <cols>
    <col collapsed="false" customWidth="true" hidden="false" outlineLevel="0" max="1" min="1" style="15" width="7.82"/>
    <col collapsed="false" customWidth="true" hidden="false" outlineLevel="0" max="2" min="2" style="15" width="47.55"/>
    <col collapsed="false" customWidth="true" hidden="false" outlineLevel="0" max="3" min="3" style="15" width="10.46"/>
    <col collapsed="false" customWidth="true" hidden="false" outlineLevel="0" max="4" min="4" style="15" width="23.81"/>
    <col collapsed="false" customWidth="true" hidden="false" outlineLevel="0" max="5" min="5" style="15" width="20.18"/>
    <col collapsed="false" customWidth="true" hidden="false" outlineLevel="0" max="6" min="6" style="15" width="14.45"/>
    <col collapsed="false" customWidth="true" hidden="false" outlineLevel="0" max="7" min="7" style="15" width="14.01"/>
    <col collapsed="false" customWidth="true" hidden="false" outlineLevel="0" max="8" min="8" style="15" width="16.18"/>
    <col collapsed="false" customWidth="true" hidden="false" outlineLevel="0" max="9" min="9" style="15" width="7.82"/>
    <col collapsed="false" customWidth="true" hidden="false" outlineLevel="0" max="10" min="10" style="15" width="53"/>
    <col collapsed="false" customWidth="true" hidden="false" outlineLevel="0" max="11" min="11" style="15" width="10.46"/>
    <col collapsed="false" customWidth="true" hidden="false" outlineLevel="0" max="12" min="12" style="15" width="23.81"/>
    <col collapsed="false" customWidth="true" hidden="false" outlineLevel="0" max="13" min="13" style="15" width="20.18"/>
    <col collapsed="false" customWidth="true" hidden="false" outlineLevel="0" max="14" min="14" style="15" width="14.45"/>
    <col collapsed="false" customWidth="true" hidden="true" outlineLevel="0" max="16" min="15" style="15" width="17.27"/>
    <col collapsed="false" customWidth="false" hidden="true" outlineLevel="0" max="246" min="17" style="186" width="9.18"/>
    <col collapsed="false" customWidth="true" hidden="true" outlineLevel="0" max="247" min="247" style="186" width="35.54"/>
    <col collapsed="false" customWidth="true" hidden="true" outlineLevel="0" max="248" min="248" style="186" width="23.01"/>
    <col collapsed="false" customWidth="true" hidden="true" outlineLevel="0" max="249" min="249" style="186" width="17.73"/>
    <col collapsed="false" customWidth="true" hidden="true" outlineLevel="0" max="250" min="250" style="186" width="18.46"/>
    <col collapsed="false" customWidth="true" hidden="true" outlineLevel="0" max="252" min="251" style="186" width="13.17"/>
    <col collapsed="false" customWidth="true" hidden="true" outlineLevel="0" max="253" min="253" style="186" width="10.73"/>
    <col collapsed="false" customWidth="true" hidden="true" outlineLevel="0" max="254" min="254" style="186" width="40.81"/>
    <col collapsed="false" customWidth="true" hidden="true" outlineLevel="0" max="255" min="255" style="186" width="34.18"/>
    <col collapsed="false" customWidth="true" hidden="true" outlineLevel="0" max="256" min="256" style="186" width="16"/>
    <col collapsed="false" customWidth="true" hidden="true" outlineLevel="0" max="257" min="257" style="186" width="15.72"/>
    <col collapsed="false" customWidth="true" hidden="true" outlineLevel="0" max="258" min="258" style="186" width="17.45"/>
    <col collapsed="false" customWidth="true" hidden="true" outlineLevel="0" max="259" min="259" style="186" width="10.73"/>
    <col collapsed="false" customWidth="true" hidden="true" outlineLevel="0" max="260" min="260" style="186" width="13.01"/>
    <col collapsed="false" customWidth="true" hidden="true" outlineLevel="0" max="261" min="261" style="186" width="16.72"/>
    <col collapsed="false" customWidth="false" hidden="true" outlineLevel="0" max="502" min="262" style="186" width="9.18"/>
    <col collapsed="false" customWidth="true" hidden="true" outlineLevel="0" max="503" min="503" style="186" width="35.54"/>
    <col collapsed="false" customWidth="true" hidden="true" outlineLevel="0" max="504" min="504" style="186" width="23.01"/>
    <col collapsed="false" customWidth="true" hidden="true" outlineLevel="0" max="505" min="505" style="186" width="17.73"/>
    <col collapsed="false" customWidth="true" hidden="true" outlineLevel="0" max="506" min="506" style="186" width="18.46"/>
    <col collapsed="false" customWidth="true" hidden="true" outlineLevel="0" max="508" min="507" style="186" width="13.17"/>
    <col collapsed="false" customWidth="true" hidden="true" outlineLevel="0" max="509" min="509" style="186" width="10.73"/>
    <col collapsed="false" customWidth="true" hidden="true" outlineLevel="0" max="510" min="510" style="186" width="40.81"/>
    <col collapsed="false" customWidth="true" hidden="true" outlineLevel="0" max="511" min="511" style="186" width="34.18"/>
    <col collapsed="false" customWidth="true" hidden="true" outlineLevel="0" max="512" min="512" style="186" width="16"/>
    <col collapsed="false" customWidth="true" hidden="true" outlineLevel="0" max="513" min="513" style="186" width="15.72"/>
    <col collapsed="false" customWidth="true" hidden="true" outlineLevel="0" max="514" min="514" style="186" width="17.45"/>
    <col collapsed="false" customWidth="true" hidden="true" outlineLevel="0" max="515" min="515" style="186" width="10.73"/>
    <col collapsed="false" customWidth="true" hidden="true" outlineLevel="0" max="516" min="516" style="186" width="13.01"/>
    <col collapsed="false" customWidth="true" hidden="true" outlineLevel="0" max="517" min="517" style="186" width="16.72"/>
    <col collapsed="false" customWidth="false" hidden="true" outlineLevel="0" max="758" min="518" style="186" width="9.18"/>
    <col collapsed="false" customWidth="true" hidden="true" outlineLevel="0" max="759" min="759" style="186" width="35.54"/>
    <col collapsed="false" customWidth="true" hidden="true" outlineLevel="0" max="760" min="760" style="186" width="23.01"/>
    <col collapsed="false" customWidth="true" hidden="true" outlineLevel="0" max="761" min="761" style="186" width="17.73"/>
    <col collapsed="false" customWidth="true" hidden="true" outlineLevel="0" max="762" min="762" style="186" width="18.46"/>
    <col collapsed="false" customWidth="true" hidden="true" outlineLevel="0" max="764" min="763" style="186" width="13.17"/>
    <col collapsed="false" customWidth="true" hidden="true" outlineLevel="0" max="765" min="765" style="186" width="10.73"/>
    <col collapsed="false" customWidth="true" hidden="true" outlineLevel="0" max="766" min="766" style="186" width="40.81"/>
    <col collapsed="false" customWidth="true" hidden="true" outlineLevel="0" max="767" min="767" style="186" width="34.18"/>
    <col collapsed="false" customWidth="true" hidden="true" outlineLevel="0" max="768" min="768" style="186" width="16"/>
    <col collapsed="false" customWidth="true" hidden="true" outlineLevel="0" max="769" min="769" style="186" width="15.72"/>
    <col collapsed="false" customWidth="true" hidden="true" outlineLevel="0" max="770" min="770" style="186" width="17.45"/>
    <col collapsed="false" customWidth="true" hidden="true" outlineLevel="0" max="771" min="771" style="186" width="10.73"/>
    <col collapsed="false" customWidth="true" hidden="true" outlineLevel="0" max="772" min="772" style="186" width="13.01"/>
    <col collapsed="false" customWidth="true" hidden="true" outlineLevel="0" max="773" min="773" style="186" width="16.72"/>
    <col collapsed="false" customWidth="false" hidden="true" outlineLevel="0" max="1014" min="774" style="186" width="9.18"/>
    <col collapsed="false" customWidth="true" hidden="true" outlineLevel="0" max="1015" min="1015" style="186" width="35.54"/>
    <col collapsed="false" customWidth="true" hidden="true" outlineLevel="0" max="1016" min="1016" style="186" width="23.01"/>
    <col collapsed="false" customWidth="true" hidden="true" outlineLevel="0" max="1017" min="1017" style="186" width="17.73"/>
    <col collapsed="false" customWidth="true" hidden="true" outlineLevel="0" max="1018" min="1018" style="186" width="18.46"/>
    <col collapsed="false" customWidth="true" hidden="true" outlineLevel="0" max="1020" min="1019" style="186" width="13.17"/>
    <col collapsed="false" customWidth="true" hidden="true" outlineLevel="0" max="1021" min="1021" style="186" width="10.73"/>
    <col collapsed="false" customWidth="true" hidden="true" outlineLevel="0" max="1022" min="1022" style="186" width="40.81"/>
    <col collapsed="false" customWidth="true" hidden="true" outlineLevel="0" max="1023" min="1023" style="186" width="34.18"/>
    <col collapsed="false" customWidth="true" hidden="true" outlineLevel="0" max="1024" min="1024" style="186" width="16"/>
  </cols>
  <sheetData>
    <row r="1" customFormat="false" ht="26" hidden="false" customHeight="false" outlineLevel="0" collapsed="false">
      <c r="A1" s="187" t="s">
        <v>460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customFormat="false" ht="26" hidden="false" customHeight="false" outlineLevel="0" collapsed="false">
      <c r="A2" s="21" t="s">
        <v>461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customFormat="false" ht="26" hidden="false" customHeight="false" outlineLevel="0" collapsed="false"/>
    <row r="4" customFormat="false" ht="36" hidden="false" customHeight="true" outlineLevel="0" collapsed="false">
      <c r="A4" s="188" t="s">
        <v>462</v>
      </c>
      <c r="B4" s="140" t="s">
        <v>463</v>
      </c>
      <c r="C4" s="140"/>
      <c r="D4" s="140" t="s">
        <v>464</v>
      </c>
      <c r="E4" s="140" t="s">
        <v>465</v>
      </c>
      <c r="F4" s="140" t="s">
        <v>466</v>
      </c>
      <c r="G4" s="189"/>
      <c r="H4" s="189"/>
      <c r="I4" s="188" t="s">
        <v>462</v>
      </c>
      <c r="J4" s="140" t="s">
        <v>467</v>
      </c>
      <c r="K4" s="140"/>
      <c r="L4" s="140" t="s">
        <v>464</v>
      </c>
      <c r="M4" s="140" t="s">
        <v>465</v>
      </c>
      <c r="N4" s="140" t="s">
        <v>441</v>
      </c>
    </row>
    <row r="5" customFormat="false" ht="36" hidden="false" customHeight="true" outlineLevel="0" collapsed="false">
      <c r="A5" s="188"/>
      <c r="B5" s="190" t="s">
        <v>468</v>
      </c>
      <c r="C5" s="190"/>
      <c r="D5" s="191" t="n">
        <f aca="false">'Anexo 1. Fontes e Aplicações'!C9</f>
        <v>11068681.49</v>
      </c>
      <c r="E5" s="191" t="n">
        <f aca="false">'Anexo 1. Fontes e Aplicações'!D9</f>
        <v>12146281.48</v>
      </c>
      <c r="F5" s="192" t="n">
        <f aca="false">IFERROR(E5/D5*100-100,0)</f>
        <v>9.73557682523933</v>
      </c>
      <c r="G5" s="193"/>
      <c r="H5" s="193"/>
      <c r="I5" s="188"/>
      <c r="J5" s="194" t="s">
        <v>469</v>
      </c>
      <c r="K5" s="194"/>
      <c r="L5" s="195" t="n">
        <v>7126626.22</v>
      </c>
      <c r="M5" s="196" t="n">
        <f aca="false">'Anexo 3.Elemento de Despesas'!E75</f>
        <v>7857213.54</v>
      </c>
      <c r="N5" s="192" t="n">
        <f aca="false">IFERROR(M5/L5*100-100,0)</f>
        <v>10.2515173021099</v>
      </c>
      <c r="O5" s="197"/>
      <c r="P5" s="198" t="e">
        <f aca="false">#REF!</f>
        <v>#REF!</v>
      </c>
    </row>
    <row r="6" customFormat="false" ht="36" hidden="false" customHeight="true" outlineLevel="0" collapsed="false">
      <c r="A6" s="188"/>
      <c r="B6" s="190" t="s">
        <v>470</v>
      </c>
      <c r="C6" s="190"/>
      <c r="D6" s="191" t="n">
        <f aca="false">'Anexo 1. Fontes e Aplicações'!C21</f>
        <v>0</v>
      </c>
      <c r="E6" s="191" t="n">
        <f aca="false">'Anexo 1. Fontes e Aplicações'!D21</f>
        <v>0</v>
      </c>
      <c r="F6" s="192" t="n">
        <f aca="false">IFERROR(E6/D6*100-100,0)</f>
        <v>0</v>
      </c>
      <c r="G6" s="193"/>
      <c r="H6" s="193"/>
      <c r="I6" s="188"/>
      <c r="J6" s="194" t="s">
        <v>471</v>
      </c>
      <c r="K6" s="194"/>
      <c r="L6" s="195" t="n">
        <v>1164728.11</v>
      </c>
      <c r="M6" s="199" t="n">
        <f aca="false">1158357.51-17288.76+20000</f>
        <v>1161068.75</v>
      </c>
      <c r="N6" s="192" t="n">
        <f aca="false">IFERROR(M6/L6*100-100,0)</f>
        <v>-0.314181478800251</v>
      </c>
      <c r="O6" s="197"/>
      <c r="P6" s="198"/>
    </row>
    <row r="7" customFormat="false" ht="36" hidden="false" customHeight="true" outlineLevel="0" collapsed="false">
      <c r="A7" s="188"/>
      <c r="B7" s="200" t="s">
        <v>472</v>
      </c>
      <c r="C7" s="200"/>
      <c r="D7" s="201" t="n">
        <f aca="false">SUM(D5:D6)</f>
        <v>11068681.49</v>
      </c>
      <c r="E7" s="201" t="n">
        <f aca="false">SUM(E5:E6)</f>
        <v>12146281.48</v>
      </c>
      <c r="F7" s="202" t="n">
        <f aca="false">IFERROR(E7/D7*100-100,0)</f>
        <v>9.73557682523933</v>
      </c>
      <c r="G7" s="193"/>
      <c r="H7" s="193"/>
      <c r="I7" s="188"/>
      <c r="J7" s="194" t="s">
        <v>473</v>
      </c>
      <c r="K7" s="194"/>
      <c r="L7" s="203" t="n">
        <f aca="false">'Anexo 1. Fontes e Aplicações'!C8</f>
        <v>11559118.8</v>
      </c>
      <c r="M7" s="196" t="n">
        <f aca="false">'Anexo 1. Fontes e Aplicações'!D8</f>
        <v>13051857.48</v>
      </c>
      <c r="N7" s="192" t="n">
        <f aca="false">IFERROR(M7/L7*100-100,0)</f>
        <v>12.9139487691743</v>
      </c>
      <c r="O7" s="197"/>
      <c r="P7" s="198" t="n">
        <f aca="false">'Anexo 1. Fontes e Aplicações'!D8</f>
        <v>13051857.48</v>
      </c>
    </row>
    <row r="8" customFormat="false" ht="36" hidden="false" customHeight="true" outlineLevel="0" collapsed="false">
      <c r="A8" s="188"/>
      <c r="B8" s="190" t="s">
        <v>474</v>
      </c>
      <c r="C8" s="190"/>
      <c r="D8" s="191" t="n">
        <f aca="false">'Anexo 1. Fontes e Aplicações'!C31</f>
        <v>241349.58</v>
      </c>
      <c r="E8" s="191" t="n">
        <f aca="false">'Anexo 1. Fontes e Aplicações'!D31</f>
        <v>210770.87</v>
      </c>
      <c r="F8" s="192" t="n">
        <f aca="false">IFERROR(E8/D8*100-100,0)</f>
        <v>-12.6698832457053</v>
      </c>
      <c r="G8" s="193"/>
      <c r="H8" s="193"/>
      <c r="I8" s="204"/>
      <c r="J8" s="204"/>
      <c r="K8" s="205"/>
      <c r="L8" s="206"/>
      <c r="M8" s="207"/>
      <c r="N8" s="207"/>
      <c r="O8" s="207"/>
      <c r="P8" s="207"/>
    </row>
    <row r="9" customFormat="false" ht="36" hidden="false" customHeight="true" outlineLevel="0" collapsed="false">
      <c r="A9" s="188"/>
      <c r="B9" s="98" t="s">
        <v>475</v>
      </c>
      <c r="C9" s="98"/>
      <c r="D9" s="201" t="n">
        <f aca="false">D7-D8</f>
        <v>10827331.91</v>
      </c>
      <c r="E9" s="201" t="n">
        <f aca="false">E7-E8</f>
        <v>11935510.61</v>
      </c>
      <c r="F9" s="202" t="n">
        <f aca="false">IFERROR(E9/D9*100-100,0)</f>
        <v>10.235011812804</v>
      </c>
      <c r="G9" s="193"/>
      <c r="H9" s="193"/>
      <c r="I9" s="139"/>
      <c r="J9" s="139"/>
      <c r="K9" s="205"/>
      <c r="L9" s="208"/>
      <c r="M9" s="209"/>
      <c r="N9" s="208"/>
      <c r="O9" s="210"/>
      <c r="P9" s="210"/>
    </row>
    <row r="10" s="215" customFormat="true" ht="36" hidden="false" customHeight="true" outlineLevel="0" collapsed="false">
      <c r="A10" s="211"/>
      <c r="B10" s="212"/>
      <c r="C10" s="212"/>
      <c r="D10" s="213"/>
      <c r="E10" s="213"/>
      <c r="F10" s="208"/>
      <c r="G10" s="213"/>
      <c r="H10" s="213"/>
      <c r="I10" s="139"/>
      <c r="J10" s="139"/>
      <c r="K10" s="205"/>
      <c r="L10" s="208"/>
      <c r="M10" s="209"/>
      <c r="N10" s="208"/>
      <c r="O10" s="214"/>
      <c r="P10" s="214"/>
    </row>
    <row r="11" customFormat="false" ht="36" hidden="false" customHeight="true" outlineLevel="0" collapsed="false">
      <c r="A11" s="188" t="s">
        <v>476</v>
      </c>
      <c r="B11" s="140" t="s">
        <v>477</v>
      </c>
      <c r="C11" s="140"/>
      <c r="D11" s="140" t="s">
        <v>464</v>
      </c>
      <c r="E11" s="140" t="s">
        <v>465</v>
      </c>
      <c r="F11" s="140" t="s">
        <v>478</v>
      </c>
      <c r="G11" s="213"/>
      <c r="H11" s="213"/>
      <c r="I11" s="140" t="s">
        <v>477</v>
      </c>
      <c r="J11" s="140"/>
      <c r="K11" s="140"/>
      <c r="L11" s="140" t="s">
        <v>464</v>
      </c>
      <c r="M11" s="140" t="s">
        <v>465</v>
      </c>
      <c r="N11" s="140" t="s">
        <v>479</v>
      </c>
      <c r="O11" s="210"/>
      <c r="P11" s="210"/>
    </row>
    <row r="12" customFormat="false" ht="36" hidden="false" customHeight="true" outlineLevel="0" collapsed="false">
      <c r="A12" s="188"/>
      <c r="B12" s="216" t="s">
        <v>480</v>
      </c>
      <c r="C12" s="217" t="s">
        <v>481</v>
      </c>
      <c r="D12" s="195" t="n">
        <v>2969994.87</v>
      </c>
      <c r="E12" s="218" t="n">
        <f aca="false">+SUMIF('Quadro Geral'!E:E,"Tornar a fiscalização um vetor de melhoria do exercício da Arquitetura e Urbanismo",'Quadro Geral'!I:I)-150000</f>
        <v>3959070.78</v>
      </c>
      <c r="F12" s="192" t="n">
        <f aca="false">IFERROR(E12/D12*100-100,)</f>
        <v>33.3022767140335</v>
      </c>
      <c r="G12" s="197"/>
      <c r="H12" s="219"/>
      <c r="I12" s="216" t="s">
        <v>482</v>
      </c>
      <c r="J12" s="216"/>
      <c r="K12" s="217" t="s">
        <v>481</v>
      </c>
      <c r="L12" s="203" t="n">
        <f aca="false">(L5-L6)</f>
        <v>5961898.11</v>
      </c>
      <c r="M12" s="196" t="n">
        <f aca="false">(M5-M6)</f>
        <v>6696144.79</v>
      </c>
      <c r="N12" s="192" t="n">
        <f aca="false">IFERROR(M12/L12*100-100,0)</f>
        <v>12.3156529422808</v>
      </c>
      <c r="O12" s="197"/>
      <c r="P12" s="198" t="e">
        <f aca="false">P5-P6</f>
        <v>#REF!</v>
      </c>
      <c r="Q12" s="97"/>
      <c r="R12" s="97"/>
    </row>
    <row r="13" customFormat="false" ht="36" hidden="false" customHeight="true" outlineLevel="0" collapsed="false">
      <c r="A13" s="188"/>
      <c r="B13" s="216"/>
      <c r="C13" s="220" t="s">
        <v>483</v>
      </c>
      <c r="D13" s="221" t="n">
        <f aca="false">IFERROR(D12/$D$9,0)</f>
        <v>0.274305331607776</v>
      </c>
      <c r="E13" s="221" t="n">
        <f aca="false">IFERROR(E12/$E$9,0)</f>
        <v>0.331705187097982</v>
      </c>
      <c r="F13" s="222" t="n">
        <f aca="false">(E13-D13)*100</f>
        <v>5.73998554902065</v>
      </c>
      <c r="G13" s="223"/>
      <c r="H13" s="223"/>
      <c r="I13" s="216"/>
      <c r="J13" s="216"/>
      <c r="K13" s="220" t="s">
        <v>483</v>
      </c>
      <c r="L13" s="224" t="n">
        <f aca="false">IFERROR(L12/L7,)</f>
        <v>0.51577444727015</v>
      </c>
      <c r="M13" s="224" t="n">
        <f aca="false">IFERROR(M12/M7,)</f>
        <v>0.513041519206046</v>
      </c>
      <c r="N13" s="222" t="n">
        <f aca="false">(M13-L13)*100</f>
        <v>-0.273292806410341</v>
      </c>
      <c r="O13" s="225"/>
      <c r="P13" s="225" t="n">
        <f aca="false">IFERROR(P12/P7,)</f>
        <v>0</v>
      </c>
      <c r="Q13" s="97"/>
      <c r="R13" s="97"/>
    </row>
    <row r="14" customFormat="false" ht="36" hidden="false" customHeight="true" outlineLevel="0" collapsed="false">
      <c r="A14" s="188"/>
      <c r="B14" s="226" t="s">
        <v>484</v>
      </c>
      <c r="C14" s="217" t="s">
        <v>481</v>
      </c>
      <c r="D14" s="195" t="n">
        <v>1341147.07</v>
      </c>
      <c r="E14" s="218" t="n">
        <f aca="false">'Quadro Geral'!I26+'Quadro Geral'!I27+'Quadro Geral'!I28+'Quadro Geral'!I29+'Quadro Geral'!I30+'Quadro Geral'!I31+'Quadro Geral'!I32+'Quadro Geral'!I56+'Quadro Geral'!I57</f>
        <v>1395911.19</v>
      </c>
      <c r="F14" s="192" t="n">
        <f aca="false">IFERROR(E14/D14*100-100,)</f>
        <v>4.0833791628833</v>
      </c>
      <c r="G14" s="197"/>
      <c r="H14" s="219"/>
      <c r="I14" s="226" t="s">
        <v>485</v>
      </c>
      <c r="J14" s="226"/>
      <c r="K14" s="217" t="s">
        <v>481</v>
      </c>
      <c r="L14" s="195" t="n">
        <v>144000</v>
      </c>
      <c r="M14" s="199" t="n">
        <f aca="false">'Quadro Geral'!I40</f>
        <v>40290</v>
      </c>
      <c r="N14" s="192" t="n">
        <f aca="false">IFERROR(M14/L14*100-100,0)</f>
        <v>-72.0208333333333</v>
      </c>
      <c r="O14" s="197"/>
      <c r="P14" s="198" t="e">
        <f aca="false">SUMIF(#REF!,'Validação de dados'!D6,#REF!)</f>
        <v>#VALUE!</v>
      </c>
    </row>
    <row r="15" customFormat="false" ht="36" hidden="false" customHeight="true" outlineLevel="0" collapsed="false">
      <c r="A15" s="188"/>
      <c r="B15" s="226"/>
      <c r="C15" s="220" t="s">
        <v>483</v>
      </c>
      <c r="D15" s="221" t="n">
        <f aca="false">IFERROR(D14/$D$9,0)</f>
        <v>0.123866810507705</v>
      </c>
      <c r="E15" s="221" t="n">
        <f aca="false">IFERROR(E14/$E$9,0)</f>
        <v>0.116954459311565</v>
      </c>
      <c r="F15" s="222" t="n">
        <f aca="false">(E15-D15)*100</f>
        <v>-0.691235119613998</v>
      </c>
      <c r="G15" s="223"/>
      <c r="H15" s="223"/>
      <c r="I15" s="226"/>
      <c r="J15" s="226"/>
      <c r="K15" s="220" t="s">
        <v>483</v>
      </c>
      <c r="L15" s="224" t="n">
        <f aca="false">IFERROR(L14/L5,)</f>
        <v>0.0202059144895072</v>
      </c>
      <c r="M15" s="224" t="n">
        <f aca="false">IFERROR(M14/M5,)</f>
        <v>0.0051277720523808</v>
      </c>
      <c r="N15" s="222" t="n">
        <f aca="false">(M15-L15)*100</f>
        <v>-1.50781424371264</v>
      </c>
      <c r="O15" s="225"/>
      <c r="P15" s="225" t="n">
        <f aca="false">IFERROR(P14/P5,)</f>
        <v>0</v>
      </c>
    </row>
    <row r="16" customFormat="false" ht="36" hidden="false" customHeight="true" outlineLevel="0" collapsed="false">
      <c r="A16" s="188"/>
      <c r="B16" s="226" t="s">
        <v>486</v>
      </c>
      <c r="C16" s="217" t="s">
        <v>481</v>
      </c>
      <c r="D16" s="195" t="n">
        <v>791258.95</v>
      </c>
      <c r="E16" s="218" t="n">
        <f aca="false">'Quadro Geral'!I41</f>
        <v>842015.8</v>
      </c>
      <c r="F16" s="192" t="n">
        <f aca="false">IFERROR(E16/D16*100-100,)</f>
        <v>6.41469521450595</v>
      </c>
      <c r="G16" s="197"/>
      <c r="H16" s="219"/>
      <c r="O16" s="211"/>
    </row>
    <row r="17" customFormat="false" ht="36" hidden="false" customHeight="true" outlineLevel="0" collapsed="false">
      <c r="A17" s="188"/>
      <c r="B17" s="226"/>
      <c r="C17" s="220" t="s">
        <v>483</v>
      </c>
      <c r="D17" s="221" t="n">
        <f aca="false">IFERROR(D16/$D$9,0)</f>
        <v>0.0730797722446471</v>
      </c>
      <c r="E17" s="221" t="n">
        <f aca="false">IFERROR(E16/$E$9,0)</f>
        <v>0.0705471116832261</v>
      </c>
      <c r="F17" s="222" t="n">
        <f aca="false">(E17-D17)*100</f>
        <v>-0.2532660561421</v>
      </c>
      <c r="G17" s="223"/>
      <c r="H17" s="223"/>
      <c r="I17" s="227" t="s">
        <v>487</v>
      </c>
      <c r="J17" s="227"/>
      <c r="K17" s="228" t="s">
        <v>488</v>
      </c>
      <c r="L17" s="228"/>
      <c r="M17" s="228"/>
      <c r="N17" s="228"/>
    </row>
    <row r="18" customFormat="false" ht="36" hidden="false" customHeight="true" outlineLevel="0" collapsed="false">
      <c r="A18" s="188"/>
      <c r="B18" s="226" t="s">
        <v>489</v>
      </c>
      <c r="C18" s="217" t="s">
        <v>481</v>
      </c>
      <c r="D18" s="195" t="n">
        <v>130000</v>
      </c>
      <c r="E18" s="199" t="n">
        <f aca="false">'Quadro Geral'!I48</f>
        <v>56000</v>
      </c>
      <c r="F18" s="192" t="n">
        <f aca="false">IFERROR(E18/D18*100-100,)</f>
        <v>-56.9230769230769</v>
      </c>
      <c r="G18" s="197"/>
      <c r="H18" s="198"/>
      <c r="I18" s="227"/>
      <c r="J18" s="227"/>
      <c r="K18" s="228"/>
      <c r="L18" s="228"/>
      <c r="M18" s="228"/>
      <c r="N18" s="228"/>
    </row>
    <row r="19" customFormat="false" ht="36" hidden="false" customHeight="true" outlineLevel="0" collapsed="false">
      <c r="A19" s="188"/>
      <c r="B19" s="226"/>
      <c r="C19" s="220" t="s">
        <v>483</v>
      </c>
      <c r="D19" s="221" t="n">
        <f aca="false">IFERROR(D18/$D$9,0)</f>
        <v>0.0120066514151962</v>
      </c>
      <c r="E19" s="221" t="n">
        <f aca="false">IFERROR(E18/$E$9,0)</f>
        <v>0.00469188138068272</v>
      </c>
      <c r="F19" s="222" t="n">
        <f aca="false">(E19-D19)*100</f>
        <v>-0.731477003451344</v>
      </c>
      <c r="G19" s="223"/>
      <c r="H19" s="223"/>
      <c r="I19" s="227"/>
      <c r="J19" s="227"/>
      <c r="K19" s="228"/>
      <c r="L19" s="228"/>
      <c r="M19" s="228"/>
      <c r="N19" s="228"/>
    </row>
    <row r="20" customFormat="false" ht="36" hidden="false" customHeight="true" outlineLevel="0" collapsed="false">
      <c r="A20" s="188"/>
      <c r="B20" s="226" t="s">
        <v>490</v>
      </c>
      <c r="C20" s="217" t="s">
        <v>481</v>
      </c>
      <c r="D20" s="195" t="n">
        <v>2132406.02</v>
      </c>
      <c r="E20" s="218" t="n">
        <f aca="false">'Quadro Geral'!I26+'Quadro Geral'!I27+'Quadro Geral'!I32+'Quadro Geral'!I41+'Quadro Geral'!I56+'Quadro Geral'!I57</f>
        <v>2237926.99</v>
      </c>
      <c r="F20" s="192" t="n">
        <f aca="false">IFERROR(E20/D20*100-100,)</f>
        <v>4.94844645017463</v>
      </c>
      <c r="G20" s="197"/>
      <c r="H20" s="219"/>
      <c r="I20" s="227"/>
      <c r="J20" s="227"/>
      <c r="K20" s="228"/>
      <c r="L20" s="228"/>
      <c r="M20" s="228"/>
      <c r="N20" s="228"/>
    </row>
    <row r="21" customFormat="false" ht="36" hidden="false" customHeight="true" outlineLevel="0" collapsed="false">
      <c r="A21" s="188"/>
      <c r="B21" s="226"/>
      <c r="C21" s="220" t="s">
        <v>483</v>
      </c>
      <c r="D21" s="221" t="n">
        <f aca="false">IFERROR(D20/$D$9,0)</f>
        <v>0.196946582752352</v>
      </c>
      <c r="E21" s="221" t="n">
        <f aca="false">IFERROR(E20/$E$9,0)</f>
        <v>0.187501570994791</v>
      </c>
      <c r="F21" s="222" t="n">
        <f aca="false">(E21-D21)*100</f>
        <v>-0.944501175756096</v>
      </c>
      <c r="G21" s="223"/>
      <c r="H21" s="223"/>
      <c r="I21" s="227"/>
      <c r="J21" s="227"/>
      <c r="K21" s="228"/>
      <c r="L21" s="228"/>
      <c r="M21" s="228"/>
      <c r="N21" s="228"/>
    </row>
    <row r="22" customFormat="false" ht="36" hidden="false" customHeight="true" outlineLevel="0" collapsed="false">
      <c r="A22" s="188"/>
      <c r="B22" s="226" t="s">
        <v>491</v>
      </c>
      <c r="C22" s="217" t="s">
        <v>481</v>
      </c>
      <c r="D22" s="195" t="n">
        <v>20000</v>
      </c>
      <c r="E22" s="199" t="n">
        <f aca="false">'Quadro Geral'!I47</f>
        <v>238711</v>
      </c>
      <c r="F22" s="192" t="n">
        <f aca="false">IFERROR(E22/D22*100-100,)</f>
        <v>1093.555</v>
      </c>
      <c r="G22" s="197"/>
      <c r="H22" s="198"/>
      <c r="I22" s="227"/>
      <c r="J22" s="227"/>
      <c r="K22" s="228"/>
      <c r="L22" s="228"/>
      <c r="M22" s="228"/>
      <c r="N22" s="228"/>
    </row>
    <row r="23" customFormat="false" ht="36" hidden="false" customHeight="true" outlineLevel="0" collapsed="false">
      <c r="A23" s="188"/>
      <c r="B23" s="226"/>
      <c r="C23" s="220" t="s">
        <v>483</v>
      </c>
      <c r="D23" s="221" t="n">
        <f aca="false">IFERROR(D22/$D$9,0)</f>
        <v>0.00184717714079941</v>
      </c>
      <c r="E23" s="221" t="n">
        <f aca="false">IFERROR(E22/$E$9,0)</f>
        <v>0.020000066004717</v>
      </c>
      <c r="F23" s="222" t="n">
        <f aca="false">(E23-D23)*100</f>
        <v>1.81528888639176</v>
      </c>
      <c r="G23" s="223"/>
      <c r="H23" s="223"/>
      <c r="I23" s="229"/>
      <c r="J23" s="229"/>
      <c r="K23" s="229"/>
      <c r="L23" s="229"/>
      <c r="M23" s="229"/>
      <c r="N23" s="229"/>
      <c r="O23" s="229"/>
    </row>
    <row r="24" customFormat="false" ht="36" hidden="false" customHeight="true" outlineLevel="0" collapsed="false">
      <c r="A24" s="188"/>
      <c r="B24" s="226" t="s">
        <v>492</v>
      </c>
      <c r="C24" s="217" t="s">
        <v>481</v>
      </c>
      <c r="D24" s="230" t="n">
        <f aca="false">'Anexo 1. Fontes e Aplicações'!C33</f>
        <v>153572.07</v>
      </c>
      <c r="E24" s="230" t="n">
        <f aca="false">'Anexo 1. Fontes e Aplicações'!D33</f>
        <v>205882.9246</v>
      </c>
      <c r="F24" s="192" t="n">
        <f aca="false">IFERROR(E24/D24*100-100,)</f>
        <v>34.0627397937659</v>
      </c>
      <c r="G24" s="197"/>
      <c r="H24" s="198"/>
      <c r="I24" s="229"/>
      <c r="J24" s="229"/>
      <c r="K24" s="229"/>
      <c r="L24" s="229"/>
      <c r="M24" s="229"/>
      <c r="N24" s="229"/>
      <c r="O24" s="229"/>
    </row>
    <row r="25" customFormat="false" ht="36" hidden="false" customHeight="true" outlineLevel="0" collapsed="false">
      <c r="A25" s="188"/>
      <c r="B25" s="226"/>
      <c r="C25" s="220" t="s">
        <v>483</v>
      </c>
      <c r="D25" s="221" t="n">
        <f aca="false">IFERROR(D24/$D$9,0)</f>
        <v>0.0141837408584623</v>
      </c>
      <c r="E25" s="221" t="n">
        <f aca="false">IFERROR(E24/$E$9,0)</f>
        <v>0.0172496117952008</v>
      </c>
      <c r="F25" s="222" t="n">
        <f aca="false">(E25-D25)*100</f>
        <v>0.306587093673845</v>
      </c>
      <c r="G25" s="223"/>
      <c r="H25" s="223"/>
      <c r="I25" s="229"/>
      <c r="J25" s="229"/>
      <c r="K25" s="229"/>
      <c r="L25" s="229"/>
      <c r="M25" s="229"/>
      <c r="N25" s="229"/>
      <c r="O25" s="229"/>
    </row>
    <row r="26" customFormat="false" ht="26" hidden="false" customHeight="false" outlineLevel="0" collapsed="false">
      <c r="B26" s="231"/>
      <c r="I26" s="229"/>
      <c r="J26" s="229"/>
      <c r="K26" s="229"/>
      <c r="L26" s="229"/>
      <c r="M26" s="229"/>
      <c r="N26" s="229"/>
      <c r="O26" s="229"/>
    </row>
    <row r="27" customFormat="false" ht="26" hidden="false" customHeight="false" outlineLevel="0" collapsed="false">
      <c r="A27" s="21" t="s">
        <v>493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customFormat="false" ht="101.25" hidden="false" customHeight="true" outlineLevel="0" collapsed="false">
      <c r="A28" s="65" t="s">
        <v>494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</sheetData>
  <mergeCells count="31">
    <mergeCell ref="A1:N1"/>
    <mergeCell ref="A2:N2"/>
    <mergeCell ref="A4:A9"/>
    <mergeCell ref="B4:C4"/>
    <mergeCell ref="I4:I7"/>
    <mergeCell ref="J4:K4"/>
    <mergeCell ref="B5:C5"/>
    <mergeCell ref="J5:K5"/>
    <mergeCell ref="B6:C6"/>
    <mergeCell ref="J6:K6"/>
    <mergeCell ref="B7:C7"/>
    <mergeCell ref="J7:K7"/>
    <mergeCell ref="B8:C8"/>
    <mergeCell ref="I8:J8"/>
    <mergeCell ref="B9:C9"/>
    <mergeCell ref="A11:A25"/>
    <mergeCell ref="B11:C11"/>
    <mergeCell ref="I11:K11"/>
    <mergeCell ref="B12:B13"/>
    <mergeCell ref="I12:J13"/>
    <mergeCell ref="B14:B15"/>
    <mergeCell ref="I14:J15"/>
    <mergeCell ref="B16:B17"/>
    <mergeCell ref="I17:J22"/>
    <mergeCell ref="K17:N22"/>
    <mergeCell ref="B18:B19"/>
    <mergeCell ref="B20:B21"/>
    <mergeCell ref="B22:B23"/>
    <mergeCell ref="B24:B25"/>
    <mergeCell ref="A27:N27"/>
    <mergeCell ref="A28:N28"/>
  </mergeCells>
  <printOptions headings="false" gridLines="false" gridLinesSet="true" horizontalCentered="true" verticalCentered="false"/>
  <pageMargins left="0.196527777777778" right="0.196527777777778" top="0.354166666666667" bottom="0" header="0.511805555555555" footer="0.511805555555555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AB86"/>
  <sheetViews>
    <sheetView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J61" activeCellId="0" sqref="J61"/>
    </sheetView>
  </sheetViews>
  <sheetFormatPr defaultColWidth="16.47265625" defaultRowHeight="26" zeroHeight="true" outlineLevelRow="0" outlineLevelCol="0"/>
  <cols>
    <col collapsed="false" customWidth="true" hidden="false" outlineLevel="0" max="1" min="1" style="13" width="16.54"/>
    <col collapsed="false" customWidth="true" hidden="false" outlineLevel="0" max="2" min="2" style="13" width="50.27"/>
    <col collapsed="false" customWidth="true" hidden="false" outlineLevel="0" max="3" min="3" style="13" width="24.18"/>
    <col collapsed="false" customWidth="true" hidden="false" outlineLevel="0" max="4" min="4" style="232" width="16.27"/>
    <col collapsed="false" customWidth="true" hidden="false" outlineLevel="0" max="5" min="5" style="13" width="18.82"/>
    <col collapsed="false" customWidth="true" hidden="false" outlineLevel="0" max="7" min="6" style="13" width="15.27"/>
    <col collapsed="false" customWidth="true" hidden="false" outlineLevel="0" max="9" min="8" style="13" width="16.18"/>
    <col collapsed="false" customWidth="true" hidden="false" outlineLevel="0" max="10" min="10" style="13" width="25.45"/>
    <col collapsed="false" customWidth="true" hidden="false" outlineLevel="0" max="11" min="11" style="13" width="16.72"/>
    <col collapsed="false" customWidth="true" hidden="false" outlineLevel="0" max="13" min="12" style="13" width="15.27"/>
    <col collapsed="false" customWidth="true" hidden="false" outlineLevel="0" max="14" min="14" style="13" width="18.27"/>
    <col collapsed="false" customWidth="true" hidden="false" outlineLevel="0" max="15" min="15" style="13" width="15.27"/>
    <col collapsed="false" customWidth="true" hidden="false" outlineLevel="0" max="16" min="16" style="13" width="18.27"/>
    <col collapsed="false" customWidth="true" hidden="false" outlineLevel="0" max="17" min="17" style="13" width="11.82"/>
    <col collapsed="false" customWidth="true" hidden="false" outlineLevel="0" max="18" min="18" style="233" width="4.17"/>
    <col collapsed="false" customWidth="true" hidden="true" outlineLevel="0" max="19" min="19" style="13" width="17.54"/>
    <col collapsed="false" customWidth="false" hidden="true" outlineLevel="0" max="21" min="20" style="13" width="16.45"/>
    <col collapsed="false" customWidth="true" hidden="true" outlineLevel="0" max="22" min="22" style="234" width="26.73"/>
    <col collapsed="false" customWidth="true" hidden="true" outlineLevel="0" max="29" min="23" style="234" width="11.52"/>
    <col collapsed="false" customWidth="false" hidden="true" outlineLevel="0" max="1024" min="30" style="234" width="16.45"/>
  </cols>
  <sheetData>
    <row r="1" s="241" customFormat="true" ht="26" hidden="false" customHeight="false" outlineLevel="0" collapsed="false">
      <c r="A1" s="235" t="s">
        <v>495</v>
      </c>
      <c r="B1" s="235"/>
      <c r="C1" s="235"/>
      <c r="D1" s="236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7"/>
      <c r="S1" s="238"/>
      <c r="T1" s="238"/>
      <c r="U1" s="239"/>
      <c r="V1" s="240"/>
    </row>
    <row r="2" customFormat="false" ht="26" hidden="false" customHeight="false" outlineLevel="0" collapsed="false">
      <c r="A2" s="21" t="s">
        <v>397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U2" s="242"/>
      <c r="V2" s="243"/>
    </row>
    <row r="3" customFormat="false" ht="26" hidden="false" customHeight="false" outlineLevel="0" collapsed="false">
      <c r="A3" s="244" t="s">
        <v>496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U3" s="242"/>
      <c r="V3" s="243"/>
    </row>
    <row r="4" customFormat="false" ht="26" hidden="false" customHeight="false" outlineLevel="0" collapsed="false">
      <c r="A4" s="245"/>
      <c r="B4" s="245"/>
      <c r="C4" s="245"/>
      <c r="D4" s="246"/>
      <c r="E4" s="245"/>
      <c r="F4" s="245"/>
    </row>
    <row r="5" s="257" customFormat="true" ht="25.5" hidden="false" customHeight="true" outlineLevel="0" collapsed="false">
      <c r="A5" s="44" t="s">
        <v>166</v>
      </c>
      <c r="B5" s="247" t="s">
        <v>497</v>
      </c>
      <c r="C5" s="247" t="s">
        <v>498</v>
      </c>
      <c r="D5" s="248"/>
      <c r="E5" s="249" t="s">
        <v>499</v>
      </c>
      <c r="F5" s="249"/>
      <c r="G5" s="247" t="s">
        <v>500</v>
      </c>
      <c r="H5" s="250" t="s">
        <v>501</v>
      </c>
      <c r="I5" s="250"/>
      <c r="J5" s="250"/>
      <c r="K5" s="251" t="s">
        <v>502</v>
      </c>
      <c r="L5" s="251" t="s">
        <v>503</v>
      </c>
      <c r="M5" s="251" t="s">
        <v>504</v>
      </c>
      <c r="N5" s="251" t="s">
        <v>505</v>
      </c>
      <c r="O5" s="247" t="s">
        <v>506</v>
      </c>
      <c r="P5" s="249" t="s">
        <v>444</v>
      </c>
      <c r="Q5" s="249" t="s">
        <v>507</v>
      </c>
      <c r="R5" s="252" t="s">
        <v>508</v>
      </c>
      <c r="S5" s="253"/>
      <c r="T5" s="254"/>
      <c r="U5" s="255"/>
      <c r="V5" s="256"/>
    </row>
    <row r="6" s="257" customFormat="true" ht="42" hidden="false" customHeight="true" outlineLevel="0" collapsed="false">
      <c r="A6" s="44"/>
      <c r="B6" s="247"/>
      <c r="C6" s="247"/>
      <c r="D6" s="248"/>
      <c r="E6" s="247" t="s">
        <v>509</v>
      </c>
      <c r="F6" s="247" t="s">
        <v>510</v>
      </c>
      <c r="G6" s="247"/>
      <c r="H6" s="247" t="s">
        <v>510</v>
      </c>
      <c r="I6" s="247" t="s">
        <v>511</v>
      </c>
      <c r="J6" s="247" t="s">
        <v>512</v>
      </c>
      <c r="K6" s="251"/>
      <c r="L6" s="251"/>
      <c r="M6" s="251"/>
      <c r="N6" s="251"/>
      <c r="O6" s="247"/>
      <c r="P6" s="249"/>
      <c r="Q6" s="249"/>
      <c r="R6" s="252"/>
      <c r="S6" s="253"/>
      <c r="T6" s="258"/>
      <c r="U6" s="93" t="s">
        <v>513</v>
      </c>
      <c r="V6" s="93" t="s">
        <v>514</v>
      </c>
      <c r="W6" s="258"/>
      <c r="X6" s="258"/>
      <c r="Y6" s="258"/>
      <c r="Z6" s="258"/>
      <c r="AA6" s="258"/>
      <c r="AB6" s="258"/>
    </row>
    <row r="7" customFormat="false" ht="62" hidden="false" customHeight="false" outlineLevel="0" collapsed="false">
      <c r="A7" s="259" t="str">
        <f aca="false">'Quadro Geral'!A8</f>
        <v>Gabinete da Presidência e Secretária da Presidência</v>
      </c>
      <c r="B7" s="259" t="str">
        <f aca="false">'Quadro Geral'!C8</f>
        <v>Plenário do CAU/PR</v>
      </c>
      <c r="C7" s="260" t="n">
        <f aca="false">'Quadro Geral'!I8</f>
        <v>546293.08</v>
      </c>
      <c r="D7" s="248" t="n">
        <f aca="false">C7-P7</f>
        <v>0</v>
      </c>
      <c r="E7" s="261" t="n">
        <v>256653.08</v>
      </c>
      <c r="F7" s="261" t="n">
        <v>58320</v>
      </c>
      <c r="G7" s="261"/>
      <c r="H7" s="261" t="n">
        <v>58320</v>
      </c>
      <c r="I7" s="261" t="n">
        <v>120000</v>
      </c>
      <c r="J7" s="261" t="n">
        <v>53000</v>
      </c>
      <c r="K7" s="261"/>
      <c r="L7" s="261"/>
      <c r="M7" s="261"/>
      <c r="N7" s="262" t="n">
        <f aca="false">SUM(E7:M7)</f>
        <v>546293.08</v>
      </c>
      <c r="O7" s="261"/>
      <c r="P7" s="262" t="n">
        <f aca="false">N7+O7</f>
        <v>546293.08</v>
      </c>
      <c r="Q7" s="263" t="n">
        <f aca="false">IFERROR(O7/$P$75*100,0)</f>
        <v>0</v>
      </c>
      <c r="R7" s="264" t="n">
        <v>1</v>
      </c>
      <c r="S7" s="265" t="n">
        <f aca="false">C7=P7</f>
        <v>1</v>
      </c>
      <c r="T7" s="266"/>
      <c r="U7" s="13" t="e">
        <f aca="false">#REF!</f>
        <v>#REF!</v>
      </c>
      <c r="V7" s="13" t="e">
        <f aca="false">#REF!</f>
        <v>#REF!</v>
      </c>
    </row>
    <row r="8" customFormat="false" ht="62" hidden="false" customHeight="false" outlineLevel="0" collapsed="false">
      <c r="A8" s="259" t="str">
        <f aca="false">'Quadro Geral'!A9</f>
        <v>Comissão de Ensino e Formação Profissional (CEF)</v>
      </c>
      <c r="B8" s="259" t="str">
        <f aca="false">'Quadro Geral'!C9</f>
        <v>Manutenção e Desenvolvimento da Comissão de Ensino e Formação Profissional/PR (CEF/PR)</v>
      </c>
      <c r="C8" s="260" t="n">
        <f aca="false">'Quadro Geral'!I9</f>
        <v>42361.25</v>
      </c>
      <c r="D8" s="248" t="n">
        <f aca="false">C8-P8</f>
        <v>0</v>
      </c>
      <c r="E8" s="261" t="n">
        <v>9781.25</v>
      </c>
      <c r="F8" s="261" t="n">
        <v>2916</v>
      </c>
      <c r="G8" s="261"/>
      <c r="H8" s="261" t="n">
        <v>11664</v>
      </c>
      <c r="I8" s="261" t="n">
        <v>18000</v>
      </c>
      <c r="J8" s="261"/>
      <c r="K8" s="261"/>
      <c r="L8" s="261"/>
      <c r="M8" s="261"/>
      <c r="N8" s="262" t="n">
        <f aca="false">SUM(E8:M8)</f>
        <v>42361.25</v>
      </c>
      <c r="O8" s="261"/>
      <c r="P8" s="262" t="n">
        <f aca="false">N8+O8</f>
        <v>42361.25</v>
      </c>
      <c r="Q8" s="263" t="n">
        <f aca="false">IFERROR(O8/$P$75*100,0)</f>
        <v>0</v>
      </c>
      <c r="R8" s="264" t="n">
        <v>2</v>
      </c>
      <c r="S8" s="265" t="n">
        <f aca="false">C8=P8</f>
        <v>1</v>
      </c>
      <c r="T8" s="266"/>
      <c r="U8" s="13" t="e">
        <f aca="false">#REF!</f>
        <v>#REF!</v>
      </c>
      <c r="V8" s="13" t="e">
        <f aca="false">#REF!</f>
        <v>#REF!</v>
      </c>
    </row>
    <row r="9" customFormat="false" ht="46.5" hidden="false" customHeight="false" outlineLevel="0" collapsed="false">
      <c r="A9" s="259" t="str">
        <f aca="false">'Quadro Geral'!A10</f>
        <v>Comissão de Ética e Disciplina (CED)</v>
      </c>
      <c r="B9" s="259" t="str">
        <f aca="false">'Quadro Geral'!C10</f>
        <v>Manutenção e Desenvolvimento da Comissão de Ética e Disciplina/PR (CED/PR)</v>
      </c>
      <c r="C9" s="260" t="n">
        <f aca="false">'Quadro Geral'!I10</f>
        <v>48877.25</v>
      </c>
      <c r="D9" s="248" t="n">
        <f aca="false">C9-P9</f>
        <v>0</v>
      </c>
      <c r="E9" s="261" t="n">
        <v>9781.25</v>
      </c>
      <c r="F9" s="261" t="n">
        <v>2916</v>
      </c>
      <c r="G9" s="261"/>
      <c r="H9" s="261" t="n">
        <v>14580</v>
      </c>
      <c r="I9" s="261" t="n">
        <v>21600</v>
      </c>
      <c r="J9" s="261"/>
      <c r="K9" s="261"/>
      <c r="L9" s="261"/>
      <c r="M9" s="261"/>
      <c r="N9" s="262" t="n">
        <f aca="false">SUM(E9:M9)</f>
        <v>48877.25</v>
      </c>
      <c r="O9" s="261"/>
      <c r="P9" s="262" t="n">
        <f aca="false">N9+O9</f>
        <v>48877.25</v>
      </c>
      <c r="Q9" s="263" t="n">
        <f aca="false">IFERROR(O9/$P$75*100,0)</f>
        <v>0</v>
      </c>
      <c r="R9" s="264" t="n">
        <v>3</v>
      </c>
      <c r="S9" s="265" t="n">
        <f aca="false">C9=P9</f>
        <v>1</v>
      </c>
      <c r="T9" s="266"/>
      <c r="U9" s="13" t="e">
        <f aca="false">#REF!</f>
        <v>#REF!</v>
      </c>
      <c r="V9" s="13" t="e">
        <f aca="false">#REF!</f>
        <v>#REF!</v>
      </c>
    </row>
    <row r="10" customFormat="false" ht="46.5" hidden="false" customHeight="false" outlineLevel="0" collapsed="false">
      <c r="A10" s="259" t="str">
        <f aca="false">'Quadro Geral'!A11</f>
        <v>Comissão de Exercício Profissional (CEP)</v>
      </c>
      <c r="B10" s="259" t="str">
        <f aca="false">'Quadro Geral'!C11</f>
        <v>Manutenção e Desenvolvimento da Comissão de Exercício Profissional/PR (CEP/PR)</v>
      </c>
      <c r="C10" s="260" t="n">
        <f aca="false">'Quadro Geral'!I11</f>
        <v>42361.25</v>
      </c>
      <c r="D10" s="248" t="n">
        <f aca="false">C10-P10</f>
        <v>0</v>
      </c>
      <c r="E10" s="261" t="n">
        <v>9781.25</v>
      </c>
      <c r="F10" s="261" t="n">
        <v>2916</v>
      </c>
      <c r="G10" s="261"/>
      <c r="H10" s="261" t="n">
        <v>11664</v>
      </c>
      <c r="I10" s="261" t="n">
        <v>18000</v>
      </c>
      <c r="J10" s="261"/>
      <c r="K10" s="261"/>
      <c r="L10" s="261"/>
      <c r="M10" s="261"/>
      <c r="N10" s="262" t="n">
        <f aca="false">SUM(E10:M10)</f>
        <v>42361.25</v>
      </c>
      <c r="O10" s="261"/>
      <c r="P10" s="262" t="n">
        <f aca="false">N10+O10</f>
        <v>42361.25</v>
      </c>
      <c r="Q10" s="263" t="n">
        <f aca="false">IFERROR(O10/$P$75*100,0)</f>
        <v>0</v>
      </c>
      <c r="R10" s="264" t="n">
        <v>4</v>
      </c>
      <c r="S10" s="265" t="n">
        <f aca="false">C10=P10</f>
        <v>1</v>
      </c>
      <c r="T10" s="266"/>
      <c r="U10" s="13" t="e">
        <f aca="false">#REF!</f>
        <v>#REF!</v>
      </c>
      <c r="V10" s="13" t="e">
        <f aca="false">#REF!</f>
        <v>#REF!</v>
      </c>
    </row>
    <row r="11" customFormat="false" ht="62" hidden="false" customHeight="false" outlineLevel="0" collapsed="false">
      <c r="A11" s="259" t="str">
        <f aca="false">'Quadro Geral'!A12</f>
        <v>Comissão de Organização e Administração (COA)</v>
      </c>
      <c r="B11" s="259" t="str">
        <f aca="false">'Quadro Geral'!C12</f>
        <v>Manutenção e Desenvolvimento da Comissão de Organização e Administração/PR (COA/PR)</v>
      </c>
      <c r="C11" s="260" t="n">
        <f aca="false">'Quadro Geral'!I12</f>
        <v>35845.25</v>
      </c>
      <c r="D11" s="248" t="n">
        <f aca="false">C11-P11</f>
        <v>0</v>
      </c>
      <c r="E11" s="261" t="n">
        <v>9781.25</v>
      </c>
      <c r="F11" s="261" t="n">
        <v>2916</v>
      </c>
      <c r="G11" s="261"/>
      <c r="H11" s="261" t="n">
        <v>8748</v>
      </c>
      <c r="I11" s="261" t="n">
        <v>14400</v>
      </c>
      <c r="J11" s="261"/>
      <c r="K11" s="261"/>
      <c r="L11" s="261"/>
      <c r="M11" s="261"/>
      <c r="N11" s="262" t="n">
        <f aca="false">SUM(E11:M11)</f>
        <v>35845.25</v>
      </c>
      <c r="O11" s="261"/>
      <c r="P11" s="262" t="n">
        <f aca="false">N11+O11</f>
        <v>35845.25</v>
      </c>
      <c r="Q11" s="263" t="n">
        <f aca="false">IFERROR(O11/$P$75*100,0)</f>
        <v>0</v>
      </c>
      <c r="R11" s="264" t="n">
        <v>5</v>
      </c>
      <c r="S11" s="265" t="n">
        <f aca="false">C11=P11</f>
        <v>1</v>
      </c>
      <c r="T11" s="266"/>
      <c r="U11" s="13" t="e">
        <f aca="false">#REF!</f>
        <v>#REF!</v>
      </c>
      <c r="V11" s="13" t="e">
        <f aca="false">#REF!</f>
        <v>#REF!</v>
      </c>
    </row>
    <row r="12" customFormat="false" ht="46.5" hidden="false" customHeight="false" outlineLevel="0" collapsed="false">
      <c r="A12" s="259" t="str">
        <f aca="false">'Quadro Geral'!A13</f>
        <v>Comissão de Planejamento e Finanças (CPFi)</v>
      </c>
      <c r="B12" s="259" t="str">
        <f aca="false">'Quadro Geral'!C13</f>
        <v>Manutenção e Desenvolvimento da Comissão de Planejamento e Finanças/PR (CPFi/PR)</v>
      </c>
      <c r="C12" s="260" t="n">
        <f aca="false">'Quadro Geral'!I13</f>
        <v>26064</v>
      </c>
      <c r="D12" s="248" t="n">
        <f aca="false">C12-P12</f>
        <v>0</v>
      </c>
      <c r="E12" s="261" t="n">
        <v>0</v>
      </c>
      <c r="F12" s="261" t="n">
        <v>2916</v>
      </c>
      <c r="G12" s="261"/>
      <c r="H12" s="261" t="n">
        <v>8748</v>
      </c>
      <c r="I12" s="261" t="n">
        <v>14400</v>
      </c>
      <c r="J12" s="261"/>
      <c r="K12" s="261"/>
      <c r="L12" s="261"/>
      <c r="M12" s="261"/>
      <c r="N12" s="262" t="n">
        <f aca="false">SUM(E12:M12)</f>
        <v>26064</v>
      </c>
      <c r="O12" s="261"/>
      <c r="P12" s="262" t="n">
        <f aca="false">N12+O12</f>
        <v>26064</v>
      </c>
      <c r="Q12" s="263" t="n">
        <f aca="false">IFERROR(O12/$P$75*100,0)</f>
        <v>0</v>
      </c>
      <c r="R12" s="264" t="n">
        <v>6</v>
      </c>
      <c r="S12" s="265" t="n">
        <f aca="false">C12=P12</f>
        <v>1</v>
      </c>
      <c r="T12" s="266"/>
      <c r="U12" s="13" t="e">
        <f aca="false">#REF!</f>
        <v>#REF!</v>
      </c>
      <c r="V12" s="13" t="e">
        <f aca="false">#REF!</f>
        <v>#REF!</v>
      </c>
    </row>
    <row r="13" customFormat="false" ht="62" hidden="false" customHeight="false" outlineLevel="0" collapsed="false">
      <c r="A13" s="259" t="str">
        <f aca="false">'Quadro Geral'!A14</f>
        <v>Gabinete da Presidência e Secretária da Presidência</v>
      </c>
      <c r="B13" s="259" t="str">
        <f aca="false">'Quadro Geral'!C14</f>
        <v>Manutenção da CEAU/PR</v>
      </c>
      <c r="C13" s="260" t="n">
        <f aca="false">'Quadro Geral'!I14</f>
        <v>500</v>
      </c>
      <c r="D13" s="248" t="n">
        <f aca="false">C13-P13</f>
        <v>0</v>
      </c>
      <c r="E13" s="261"/>
      <c r="F13" s="261"/>
      <c r="G13" s="261"/>
      <c r="H13" s="261" t="n">
        <v>250</v>
      </c>
      <c r="I13" s="261" t="n">
        <v>250</v>
      </c>
      <c r="J13" s="261"/>
      <c r="K13" s="261"/>
      <c r="L13" s="261"/>
      <c r="M13" s="261"/>
      <c r="N13" s="262" t="n">
        <f aca="false">SUM(E13:M13)</f>
        <v>500</v>
      </c>
      <c r="O13" s="261"/>
      <c r="P13" s="262" t="n">
        <f aca="false">N13+O13</f>
        <v>500</v>
      </c>
      <c r="Q13" s="263" t="n">
        <f aca="false">IFERROR(O13/$P$75*100,0)</f>
        <v>0</v>
      </c>
      <c r="R13" s="264" t="n">
        <v>7</v>
      </c>
      <c r="S13" s="265" t="n">
        <f aca="false">C13=P13</f>
        <v>1</v>
      </c>
      <c r="T13" s="266"/>
      <c r="U13" s="13" t="e">
        <f aca="false">#REF!</f>
        <v>#REF!</v>
      </c>
      <c r="V13" s="13" t="e">
        <f aca="false">#REF!</f>
        <v>#REF!</v>
      </c>
    </row>
    <row r="14" customFormat="false" ht="62" hidden="false" customHeight="false" outlineLevel="0" collapsed="false">
      <c r="A14" s="259" t="str">
        <f aca="false">'Quadro Geral'!A15</f>
        <v>Gabinete da Presidência e Secretária da Presidência</v>
      </c>
      <c r="B14" s="259" t="str">
        <f aca="false">'Quadro Geral'!C15</f>
        <v>Manutenção da CPUA/PR</v>
      </c>
      <c r="C14" s="260" t="n">
        <f aca="false">'Quadro Geral'!I15</f>
        <v>500</v>
      </c>
      <c r="D14" s="248" t="n">
        <f aca="false">C14-P14</f>
        <v>0</v>
      </c>
      <c r="E14" s="261"/>
      <c r="F14" s="261"/>
      <c r="G14" s="261"/>
      <c r="H14" s="261" t="n">
        <v>250</v>
      </c>
      <c r="I14" s="261" t="n">
        <v>250</v>
      </c>
      <c r="J14" s="261"/>
      <c r="K14" s="261"/>
      <c r="L14" s="261"/>
      <c r="M14" s="261"/>
      <c r="N14" s="262" t="n">
        <f aca="false">SUM(E14:M14)</f>
        <v>500</v>
      </c>
      <c r="O14" s="261"/>
      <c r="P14" s="262" t="n">
        <f aca="false">N14+O14</f>
        <v>500</v>
      </c>
      <c r="Q14" s="263" t="n">
        <f aca="false">IFERROR(O14/$P$75*100,0)</f>
        <v>0</v>
      </c>
      <c r="R14" s="264" t="n">
        <v>8</v>
      </c>
      <c r="S14" s="265" t="n">
        <f aca="false">C14=P14</f>
        <v>1</v>
      </c>
      <c r="T14" s="266"/>
      <c r="U14" s="13" t="e">
        <f aca="false">#REF!</f>
        <v>#REF!</v>
      </c>
      <c r="V14" s="13" t="e">
        <f aca="false">#REF!</f>
        <v>#REF!</v>
      </c>
    </row>
    <row r="15" customFormat="false" ht="62" hidden="false" customHeight="false" outlineLevel="0" collapsed="false">
      <c r="A15" s="259" t="str">
        <f aca="false">'Quadro Geral'!A16</f>
        <v>Gabinete da Presidência e Secretária da Presidência</v>
      </c>
      <c r="B15" s="259" t="str">
        <f aca="false">'Quadro Geral'!C16</f>
        <v>Manutenção do Conselho Diretor do CAU/PR</v>
      </c>
      <c r="C15" s="260" t="n">
        <f aca="false">'Quadro Geral'!I16</f>
        <v>50760</v>
      </c>
      <c r="D15" s="248" t="n">
        <f aca="false">C15-P15</f>
        <v>0</v>
      </c>
      <c r="E15" s="261"/>
      <c r="F15" s="261"/>
      <c r="G15" s="261"/>
      <c r="H15" s="261" t="n">
        <v>29160</v>
      </c>
      <c r="I15" s="261" t="n">
        <v>21600</v>
      </c>
      <c r="J15" s="261"/>
      <c r="K15" s="261"/>
      <c r="L15" s="261"/>
      <c r="M15" s="261"/>
      <c r="N15" s="262" t="n">
        <f aca="false">SUM(E15:M15)</f>
        <v>50760</v>
      </c>
      <c r="O15" s="261"/>
      <c r="P15" s="262" t="n">
        <f aca="false">N15+O15</f>
        <v>50760</v>
      </c>
      <c r="Q15" s="263" t="n">
        <f aca="false">IFERROR(O15/$P$75*100,0)</f>
        <v>0</v>
      </c>
      <c r="R15" s="264" t="n">
        <v>9</v>
      </c>
      <c r="S15" s="265" t="n">
        <f aca="false">C15=P15</f>
        <v>1</v>
      </c>
      <c r="T15" s="266"/>
      <c r="U15" s="13" t="e">
        <f aca="false">#REF!</f>
        <v>#REF!</v>
      </c>
      <c r="V15" s="13" t="e">
        <f aca="false">#REF!</f>
        <v>#REF!</v>
      </c>
    </row>
    <row r="16" customFormat="false" ht="62" hidden="false" customHeight="false" outlineLevel="0" collapsed="false">
      <c r="A16" s="259" t="str">
        <f aca="false">'Quadro Geral'!A17</f>
        <v>Gabinete da Presidência e Secretária da Presidência</v>
      </c>
      <c r="B16" s="259" t="str">
        <f aca="false">'Quadro Geral'!C17</f>
        <v>Manutenção e Aprimoramento da Presidência</v>
      </c>
      <c r="C16" s="260" t="n">
        <f aca="false">'Quadro Geral'!I17</f>
        <v>1034084.09</v>
      </c>
      <c r="D16" s="248" t="n">
        <f aca="false">C16-P16</f>
        <v>0</v>
      </c>
      <c r="E16" s="261" t="n">
        <v>931272.09</v>
      </c>
      <c r="F16" s="261" t="n">
        <v>18144</v>
      </c>
      <c r="G16" s="261"/>
      <c r="H16" s="261" t="n">
        <v>42768</v>
      </c>
      <c r="I16" s="261" t="n">
        <v>40400</v>
      </c>
      <c r="J16" s="261"/>
      <c r="K16" s="261"/>
      <c r="L16" s="261"/>
      <c r="M16" s="261" t="n">
        <v>1500</v>
      </c>
      <c r="N16" s="262" t="n">
        <f aca="false">SUM(E16:M16)</f>
        <v>1034084.09</v>
      </c>
      <c r="O16" s="261"/>
      <c r="P16" s="262" t="n">
        <f aca="false">N16+O16</f>
        <v>1034084.09</v>
      </c>
      <c r="Q16" s="263" t="n">
        <f aca="false">IFERROR(O16/$P$75*100,0)</f>
        <v>0</v>
      </c>
      <c r="R16" s="264" t="n">
        <v>10</v>
      </c>
      <c r="S16" s="265" t="n">
        <f aca="false">C16=P16</f>
        <v>1</v>
      </c>
      <c r="T16" s="266"/>
      <c r="U16" s="13" t="e">
        <f aca="false">#REF!</f>
        <v>#REF!</v>
      </c>
      <c r="V16" s="13" t="e">
        <f aca="false">#REF!</f>
        <v>#REF!</v>
      </c>
    </row>
    <row r="17" customFormat="false" ht="46.5" hidden="false" customHeight="false" outlineLevel="0" collapsed="false">
      <c r="A17" s="259" t="str">
        <f aca="false">'Quadro Geral'!A18</f>
        <v>Gerência Técnica - Coordenação de Fiscalização</v>
      </c>
      <c r="B17" s="259" t="str">
        <f aca="false">'Quadro Geral'!C18</f>
        <v>Manutenção da Atividade da Fiscalização CAU/PR</v>
      </c>
      <c r="C17" s="260" t="n">
        <f aca="false">'Quadro Geral'!I18</f>
        <v>1290747.48</v>
      </c>
      <c r="D17" s="248" t="n">
        <f aca="false">C17-P17</f>
        <v>0</v>
      </c>
      <c r="E17" s="261" t="n">
        <v>1228883.48</v>
      </c>
      <c r="F17" s="261" t="n">
        <v>9720</v>
      </c>
      <c r="G17" s="261" t="n">
        <v>14000</v>
      </c>
      <c r="H17" s="261" t="n">
        <v>2430</v>
      </c>
      <c r="I17" s="261" t="n">
        <v>3200</v>
      </c>
      <c r="J17" s="261" t="n">
        <v>32514</v>
      </c>
      <c r="K17" s="261"/>
      <c r="L17" s="261"/>
      <c r="M17" s="261"/>
      <c r="N17" s="262" t="n">
        <f aca="false">SUM(E17:M17)</f>
        <v>1290747.48</v>
      </c>
      <c r="O17" s="261"/>
      <c r="P17" s="262" t="n">
        <f aca="false">N17+O17</f>
        <v>1290747.48</v>
      </c>
      <c r="Q17" s="263" t="n">
        <f aca="false">IFERROR(O17/$P$75*100,0)</f>
        <v>0</v>
      </c>
      <c r="R17" s="264" t="n">
        <v>11</v>
      </c>
      <c r="S17" s="265" t="n">
        <f aca="false">C17=P17</f>
        <v>1</v>
      </c>
      <c r="T17" s="266"/>
      <c r="U17" s="13" t="e">
        <f aca="false">#REF!</f>
        <v>#REF!</v>
      </c>
      <c r="V17" s="13" t="e">
        <f aca="false">#REF!</f>
        <v>#REF!</v>
      </c>
    </row>
    <row r="18" customFormat="false" ht="46.5" hidden="false" customHeight="false" outlineLevel="0" collapsed="false">
      <c r="A18" s="259" t="str">
        <f aca="false">'Quadro Geral'!A74</f>
        <v>Gerência Técnica - Coordenação de Fiscalização</v>
      </c>
      <c r="B18" s="259" t="str">
        <f aca="false">'Quadro Geral'!C19</f>
        <v>Fiscalização CAU/PR - Regionais (Cascavel, Londrina, Maringá, Pato Branco e Guarapuava)</v>
      </c>
      <c r="C18" s="260" t="n">
        <f aca="false">'Quadro Geral'!I19</f>
        <v>1132934.07</v>
      </c>
      <c r="D18" s="248" t="n">
        <f aca="false">C18-P18</f>
        <v>0</v>
      </c>
      <c r="E18" s="261" t="n">
        <v>1056978.07</v>
      </c>
      <c r="F18" s="261" t="n">
        <v>23328</v>
      </c>
      <c r="G18" s="261" t="n">
        <v>10000</v>
      </c>
      <c r="H18" s="261"/>
      <c r="I18" s="261"/>
      <c r="J18" s="261" t="n">
        <v>42628</v>
      </c>
      <c r="K18" s="261"/>
      <c r="L18" s="261"/>
      <c r="M18" s="261"/>
      <c r="N18" s="262" t="n">
        <f aca="false">SUM(E18:M18)</f>
        <v>1132934.07</v>
      </c>
      <c r="O18" s="261"/>
      <c r="P18" s="262" t="n">
        <f aca="false">N18+O18</f>
        <v>1132934.07</v>
      </c>
      <c r="Q18" s="263" t="n">
        <f aca="false">IFERROR(O18/$P$75*100,0)</f>
        <v>0</v>
      </c>
      <c r="R18" s="264" t="n">
        <v>12</v>
      </c>
      <c r="S18" s="265"/>
      <c r="T18" s="266"/>
      <c r="V18" s="13"/>
    </row>
    <row r="19" customFormat="false" ht="46.5" hidden="false" customHeight="false" outlineLevel="0" collapsed="false">
      <c r="A19" s="259" t="str">
        <f aca="false">'Quadro Geral'!A20</f>
        <v>Gerência Técnica - Coordenação de Fiscalização</v>
      </c>
      <c r="B19" s="259" t="str">
        <f aca="false">'Quadro Geral'!C20</f>
        <v>Fiscalização CAU/PR - Regional Cascavel</v>
      </c>
      <c r="C19" s="260" t="n">
        <f aca="false">'Quadro Geral'!I20</f>
        <v>0</v>
      </c>
      <c r="D19" s="248" t="n">
        <f aca="false">C19-P19</f>
        <v>0</v>
      </c>
      <c r="E19" s="261"/>
      <c r="F19" s="261"/>
      <c r="G19" s="261"/>
      <c r="H19" s="261"/>
      <c r="I19" s="261"/>
      <c r="J19" s="261"/>
      <c r="K19" s="261"/>
      <c r="L19" s="261"/>
      <c r="M19" s="261"/>
      <c r="N19" s="262" t="n">
        <f aca="false">SUM(E19:M19)</f>
        <v>0</v>
      </c>
      <c r="O19" s="261"/>
      <c r="P19" s="262" t="n">
        <f aca="false">N19+O19</f>
        <v>0</v>
      </c>
      <c r="Q19" s="263" t="n">
        <f aca="false">IFERROR(O19/$P$75*100,0)</f>
        <v>0</v>
      </c>
      <c r="R19" s="264" t="n">
        <v>13</v>
      </c>
      <c r="S19" s="265" t="n">
        <f aca="false">C19=P19</f>
        <v>1</v>
      </c>
      <c r="T19" s="266"/>
      <c r="U19" s="13" t="e">
        <f aca="false">#REF!</f>
        <v>#REF!</v>
      </c>
      <c r="V19" s="13" t="e">
        <f aca="false">#REF!</f>
        <v>#REF!</v>
      </c>
    </row>
    <row r="20" customFormat="false" ht="46.5" hidden="false" customHeight="false" outlineLevel="0" collapsed="false">
      <c r="A20" s="259" t="str">
        <f aca="false">'Quadro Geral'!A21</f>
        <v>Gerência Técnica - Coordenação de Fiscalização</v>
      </c>
      <c r="B20" s="259" t="str">
        <f aca="false">'Quadro Geral'!C21</f>
        <v>Fiscalização CAU/PR - Regional Londrina</v>
      </c>
      <c r="C20" s="260" t="n">
        <f aca="false">'Quadro Geral'!I21</f>
        <v>0</v>
      </c>
      <c r="D20" s="248" t="n">
        <f aca="false">C20-P20</f>
        <v>0</v>
      </c>
      <c r="E20" s="261"/>
      <c r="F20" s="261"/>
      <c r="G20" s="261"/>
      <c r="H20" s="261"/>
      <c r="I20" s="261"/>
      <c r="J20" s="261"/>
      <c r="K20" s="261"/>
      <c r="L20" s="261"/>
      <c r="M20" s="261"/>
      <c r="N20" s="262" t="n">
        <f aca="false">SUM(E20:M20)</f>
        <v>0</v>
      </c>
      <c r="O20" s="261"/>
      <c r="P20" s="262" t="n">
        <f aca="false">N20+O20</f>
        <v>0</v>
      </c>
      <c r="Q20" s="263" t="n">
        <f aca="false">IFERROR(O20/$P$75*100,0)</f>
        <v>0</v>
      </c>
      <c r="R20" s="264" t="n">
        <v>14</v>
      </c>
      <c r="S20" s="265" t="n">
        <f aca="false">C20=P20</f>
        <v>1</v>
      </c>
      <c r="T20" s="266"/>
      <c r="U20" s="13" t="e">
        <f aca="false">#REF!</f>
        <v>#REF!</v>
      </c>
      <c r="V20" s="13" t="e">
        <f aca="false">#REF!</f>
        <v>#REF!</v>
      </c>
    </row>
    <row r="21" customFormat="false" ht="46.5" hidden="false" customHeight="false" outlineLevel="0" collapsed="false">
      <c r="A21" s="259" t="str">
        <f aca="false">'Quadro Geral'!A22</f>
        <v>Gerência Técnica - Coordenação de Fiscalização</v>
      </c>
      <c r="B21" s="259" t="str">
        <f aca="false">'Quadro Geral'!C22</f>
        <v>Fiscalização CAU/PR - Regional Maringá</v>
      </c>
      <c r="C21" s="260" t="n">
        <f aca="false">'Quadro Geral'!I22</f>
        <v>0</v>
      </c>
      <c r="D21" s="248" t="n">
        <f aca="false">C21-P21</f>
        <v>0</v>
      </c>
      <c r="E21" s="261"/>
      <c r="F21" s="261"/>
      <c r="G21" s="261"/>
      <c r="H21" s="261"/>
      <c r="I21" s="261"/>
      <c r="J21" s="261"/>
      <c r="K21" s="261"/>
      <c r="L21" s="261"/>
      <c r="M21" s="261"/>
      <c r="N21" s="262" t="n">
        <f aca="false">SUM(E21:M21)</f>
        <v>0</v>
      </c>
      <c r="O21" s="261"/>
      <c r="P21" s="262" t="n">
        <f aca="false">N21+O21</f>
        <v>0</v>
      </c>
      <c r="Q21" s="263" t="n">
        <f aca="false">IFERROR(O21/$P$75*100,0)</f>
        <v>0</v>
      </c>
      <c r="R21" s="264" t="n">
        <v>15</v>
      </c>
      <c r="S21" s="265" t="n">
        <f aca="false">C21=P21</f>
        <v>1</v>
      </c>
      <c r="T21" s="266"/>
      <c r="U21" s="13" t="e">
        <f aca="false">#REF!</f>
        <v>#REF!</v>
      </c>
      <c r="V21" s="13" t="e">
        <f aca="false">#REF!</f>
        <v>#REF!</v>
      </c>
    </row>
    <row r="22" customFormat="false" ht="46.5" hidden="false" customHeight="false" outlineLevel="0" collapsed="false">
      <c r="A22" s="259" t="str">
        <f aca="false">'Quadro Geral'!A23</f>
        <v>Gerência Técnica - Coordenação de Fiscalização</v>
      </c>
      <c r="B22" s="259" t="str">
        <f aca="false">'Quadro Geral'!C23</f>
        <v>Fiscalização CAU/PR - Regional Pato Branco</v>
      </c>
      <c r="C22" s="260" t="n">
        <f aca="false">'Quadro Geral'!I23</f>
        <v>0</v>
      </c>
      <c r="D22" s="248" t="n">
        <f aca="false">C22-P22</f>
        <v>0</v>
      </c>
      <c r="E22" s="261"/>
      <c r="F22" s="261"/>
      <c r="G22" s="261"/>
      <c r="H22" s="261"/>
      <c r="I22" s="261"/>
      <c r="J22" s="261"/>
      <c r="K22" s="261"/>
      <c r="L22" s="261"/>
      <c r="M22" s="261"/>
      <c r="N22" s="262" t="n">
        <f aca="false">SUM(E22:M22)</f>
        <v>0</v>
      </c>
      <c r="O22" s="261"/>
      <c r="P22" s="262" t="n">
        <f aca="false">N22+O22</f>
        <v>0</v>
      </c>
      <c r="Q22" s="263" t="n">
        <f aca="false">IFERROR(O22/$P$75*100,0)</f>
        <v>0</v>
      </c>
      <c r="R22" s="264" t="n">
        <v>16</v>
      </c>
      <c r="S22" s="265" t="n">
        <f aca="false">C22=P22</f>
        <v>1</v>
      </c>
      <c r="T22" s="266"/>
      <c r="U22" s="13" t="e">
        <f aca="false">#REF!</f>
        <v>#REF!</v>
      </c>
      <c r="V22" s="13" t="e">
        <f aca="false">#REF!</f>
        <v>#REF!</v>
      </c>
    </row>
    <row r="23" customFormat="false" ht="46.5" hidden="false" customHeight="false" outlineLevel="0" collapsed="false">
      <c r="A23" s="259" t="str">
        <f aca="false">'Quadro Geral'!A24</f>
        <v>Gerência Técnica - Coordenação de Fiscalização</v>
      </c>
      <c r="B23" s="259" t="str">
        <f aca="false">'Quadro Geral'!C24</f>
        <v>Fiscalização CAU/PR - Regional Guarapuava</v>
      </c>
      <c r="C23" s="260" t="n">
        <f aca="false">'Quadro Geral'!I24</f>
        <v>0</v>
      </c>
      <c r="D23" s="248" t="n">
        <f aca="false">C23-P23</f>
        <v>0</v>
      </c>
      <c r="E23" s="261"/>
      <c r="F23" s="261"/>
      <c r="G23" s="261"/>
      <c r="H23" s="261"/>
      <c r="I23" s="261"/>
      <c r="J23" s="261"/>
      <c r="K23" s="261"/>
      <c r="L23" s="261"/>
      <c r="M23" s="261"/>
      <c r="N23" s="262" t="n">
        <f aca="false">SUM(E23:M23)</f>
        <v>0</v>
      </c>
      <c r="O23" s="261"/>
      <c r="P23" s="262" t="n">
        <f aca="false">N23+O23</f>
        <v>0</v>
      </c>
      <c r="Q23" s="263" t="n">
        <f aca="false">IFERROR(O23/$P$75*100,0)</f>
        <v>0</v>
      </c>
      <c r="R23" s="264" t="n">
        <v>17</v>
      </c>
      <c r="S23" s="265" t="n">
        <f aca="false">C23=P23</f>
        <v>1</v>
      </c>
      <c r="T23" s="266"/>
      <c r="U23" s="13" t="e">
        <f aca="false">#REF!</f>
        <v>#REF!</v>
      </c>
      <c r="V23" s="13" t="e">
        <f aca="false">#REF!</f>
        <v>#REF!</v>
      </c>
    </row>
    <row r="24" customFormat="false" ht="46.5" hidden="false" customHeight="false" outlineLevel="0" collapsed="false">
      <c r="A24" s="259" t="str">
        <f aca="false">'Quadro Geral'!A25</f>
        <v>Gerência Técnica - Coordenação de Fiscalização</v>
      </c>
      <c r="B24" s="259" t="str">
        <f aca="false">'Quadro Geral'!C25</f>
        <v>CSC - Fiscalização</v>
      </c>
      <c r="C24" s="260" t="n">
        <f aca="false">'Quadro Geral'!I25</f>
        <v>908324.56</v>
      </c>
      <c r="D24" s="248" t="n">
        <f aca="false">C24-P24</f>
        <v>0</v>
      </c>
      <c r="E24" s="261"/>
      <c r="F24" s="261"/>
      <c r="G24" s="261"/>
      <c r="H24" s="261"/>
      <c r="I24" s="261"/>
      <c r="J24" s="261"/>
      <c r="K24" s="261" t="n">
        <v>908324.56</v>
      </c>
      <c r="L24" s="261"/>
      <c r="M24" s="261"/>
      <c r="N24" s="262" t="n">
        <f aca="false">SUM(E24:M24)</f>
        <v>908324.56</v>
      </c>
      <c r="O24" s="261"/>
      <c r="P24" s="262" t="n">
        <f aca="false">N24+O24</f>
        <v>908324.56</v>
      </c>
      <c r="Q24" s="263" t="n">
        <f aca="false">IFERROR(O24/$P$75*100,0)</f>
        <v>0</v>
      </c>
      <c r="R24" s="264" t="n">
        <v>18</v>
      </c>
      <c r="S24" s="265" t="n">
        <f aca="false">C24=P24</f>
        <v>1</v>
      </c>
      <c r="T24" s="266"/>
      <c r="U24" s="13" t="e">
        <f aca="false">#REF!</f>
        <v>#REF!</v>
      </c>
      <c r="V24" s="13" t="e">
        <f aca="false">#REF!</f>
        <v>#REF!</v>
      </c>
    </row>
    <row r="25" customFormat="false" ht="46.5" hidden="false" customHeight="false" outlineLevel="0" collapsed="false">
      <c r="A25" s="259" t="str">
        <f aca="false">'Quadro Geral'!A26</f>
        <v>Gerência Técnica - Coordenação de Atendimento</v>
      </c>
      <c r="B25" s="259" t="str">
        <f aca="false">'Quadro Geral'!C26</f>
        <v>Atendimento Qualificado</v>
      </c>
      <c r="C25" s="260" t="n">
        <f aca="false">'Quadro Geral'!I26</f>
        <v>881499.22</v>
      </c>
      <c r="D25" s="248" t="n">
        <f aca="false">C25-P25</f>
        <v>0</v>
      </c>
      <c r="E25" s="261" t="n">
        <v>839065.22</v>
      </c>
      <c r="F25" s="261" t="n">
        <v>9234</v>
      </c>
      <c r="G25" s="261"/>
      <c r="H25" s="261"/>
      <c r="I25" s="261" t="n">
        <v>8200</v>
      </c>
      <c r="J25" s="261" t="n">
        <v>5000</v>
      </c>
      <c r="K25" s="261"/>
      <c r="L25" s="261"/>
      <c r="M25" s="261"/>
      <c r="N25" s="262" t="n">
        <f aca="false">SUM(E25:M25)</f>
        <v>861499.22</v>
      </c>
      <c r="O25" s="261" t="n">
        <v>20000</v>
      </c>
      <c r="P25" s="262" t="n">
        <f aca="false">N25+O25</f>
        <v>881499.22</v>
      </c>
      <c r="Q25" s="263" t="n">
        <f aca="false">IFERROR(O25/$P$75*100,0)</f>
        <v>0.109131222732466</v>
      </c>
      <c r="R25" s="264" t="n">
        <v>19</v>
      </c>
      <c r="S25" s="265" t="n">
        <f aca="false">C25=P25</f>
        <v>1</v>
      </c>
      <c r="T25" s="266"/>
      <c r="U25" s="13" t="e">
        <f aca="false">#REF!</f>
        <v>#REF!</v>
      </c>
      <c r="V25" s="13" t="e">
        <f aca="false">#REF!</f>
        <v>#REF!</v>
      </c>
    </row>
    <row r="26" customFormat="false" ht="46.5" hidden="false" customHeight="false" outlineLevel="0" collapsed="false">
      <c r="A26" s="259" t="str">
        <f aca="false">'Quadro Geral'!A27</f>
        <v>Gerência Técnica - Coordenação de Atendimento</v>
      </c>
      <c r="B26" s="259" t="str">
        <f aca="false">'Quadro Geral'!C27</f>
        <v>Atendimento CAU - Regionais (Cascavel, Londrina, Maringá e Pato Branco)</v>
      </c>
      <c r="C26" s="260" t="n">
        <f aca="false">'Quadro Geral'!I27</f>
        <v>311520.73</v>
      </c>
      <c r="D26" s="248" t="n">
        <f aca="false">C26-P26</f>
        <v>0</v>
      </c>
      <c r="E26" s="261" t="n">
        <v>311520.73</v>
      </c>
      <c r="F26" s="261"/>
      <c r="G26" s="261"/>
      <c r="H26" s="261"/>
      <c r="I26" s="261"/>
      <c r="J26" s="261"/>
      <c r="K26" s="261"/>
      <c r="L26" s="261"/>
      <c r="M26" s="261"/>
      <c r="N26" s="262" t="n">
        <f aca="false">SUM(E26:M26)</f>
        <v>311520.73</v>
      </c>
      <c r="O26" s="261"/>
      <c r="P26" s="262" t="n">
        <f aca="false">N26+O26</f>
        <v>311520.73</v>
      </c>
      <c r="Q26" s="263" t="n">
        <f aca="false">IFERROR(O26/$P$75*100,0)</f>
        <v>0</v>
      </c>
      <c r="R26" s="264" t="n">
        <v>20</v>
      </c>
      <c r="S26" s="265" t="n">
        <f aca="false">C26=P26</f>
        <v>1</v>
      </c>
      <c r="T26" s="266"/>
      <c r="U26" s="13" t="e">
        <f aca="false">#REF!</f>
        <v>#REF!</v>
      </c>
      <c r="V26" s="13" t="e">
        <f aca="false">#REF!</f>
        <v>#REF!</v>
      </c>
    </row>
    <row r="27" customFormat="false" ht="46.5" hidden="false" customHeight="false" outlineLevel="0" collapsed="false">
      <c r="A27" s="259" t="str">
        <f aca="false">'Quadro Geral'!A28</f>
        <v>Gerência Técnica - Coordenação de Atendimento</v>
      </c>
      <c r="B27" s="259" t="str">
        <f aca="false">'Quadro Geral'!C28</f>
        <v>Atendimento CAU - Regional de Cascavel</v>
      </c>
      <c r="C27" s="260" t="n">
        <f aca="false">'Quadro Geral'!I28</f>
        <v>0</v>
      </c>
      <c r="D27" s="248" t="n">
        <f aca="false">C27-P27</f>
        <v>0</v>
      </c>
      <c r="E27" s="261"/>
      <c r="F27" s="261"/>
      <c r="G27" s="261"/>
      <c r="H27" s="261"/>
      <c r="I27" s="261"/>
      <c r="J27" s="261"/>
      <c r="K27" s="261"/>
      <c r="L27" s="261"/>
      <c r="M27" s="261"/>
      <c r="N27" s="262" t="n">
        <f aca="false">SUM(E27:M27)</f>
        <v>0</v>
      </c>
      <c r="O27" s="261"/>
      <c r="P27" s="262" t="n">
        <f aca="false">N27+O27</f>
        <v>0</v>
      </c>
      <c r="Q27" s="263" t="n">
        <f aca="false">IFERROR(O27/$P$75*100,0)</f>
        <v>0</v>
      </c>
      <c r="R27" s="264" t="n">
        <v>21</v>
      </c>
      <c r="S27" s="265" t="n">
        <f aca="false">C27=P27</f>
        <v>1</v>
      </c>
      <c r="T27" s="266"/>
      <c r="U27" s="13" t="e">
        <f aca="false">#REF!</f>
        <v>#REF!</v>
      </c>
      <c r="V27" s="13" t="e">
        <f aca="false">#REF!</f>
        <v>#REF!</v>
      </c>
    </row>
    <row r="28" customFormat="false" ht="46.5" hidden="false" customHeight="false" outlineLevel="0" collapsed="false">
      <c r="A28" s="259" t="str">
        <f aca="false">'Quadro Geral'!A29</f>
        <v>Gerência Técnica - Coordenação de Atendimento</v>
      </c>
      <c r="B28" s="259" t="str">
        <f aca="false">'Quadro Geral'!C29</f>
        <v>Atendimento CAU - Regional de Londrina</v>
      </c>
      <c r="C28" s="260" t="n">
        <f aca="false">'Quadro Geral'!I29</f>
        <v>0</v>
      </c>
      <c r="D28" s="248" t="n">
        <f aca="false">C28-P28</f>
        <v>0</v>
      </c>
      <c r="E28" s="261"/>
      <c r="F28" s="261"/>
      <c r="G28" s="261"/>
      <c r="H28" s="261"/>
      <c r="I28" s="261"/>
      <c r="J28" s="261"/>
      <c r="K28" s="261"/>
      <c r="L28" s="261"/>
      <c r="M28" s="261"/>
      <c r="N28" s="262" t="n">
        <f aca="false">SUM(E28:M28)</f>
        <v>0</v>
      </c>
      <c r="O28" s="261"/>
      <c r="P28" s="262" t="n">
        <f aca="false">N28+O28</f>
        <v>0</v>
      </c>
      <c r="Q28" s="263" t="n">
        <f aca="false">IFERROR(O28/$P$75*100,0)</f>
        <v>0</v>
      </c>
      <c r="R28" s="264" t="n">
        <v>22</v>
      </c>
      <c r="S28" s="265" t="n">
        <f aca="false">C28=P28</f>
        <v>1</v>
      </c>
      <c r="T28" s="266"/>
      <c r="U28" s="13" t="e">
        <f aca="false">#REF!</f>
        <v>#REF!</v>
      </c>
      <c r="V28" s="13" t="e">
        <f aca="false">#REF!</f>
        <v>#REF!</v>
      </c>
    </row>
    <row r="29" customFormat="false" ht="46.5" hidden="false" customHeight="false" outlineLevel="0" collapsed="false">
      <c r="A29" s="259" t="str">
        <f aca="false">'Quadro Geral'!A30</f>
        <v>Gerência Técnica - Coordenação de Atendimento</v>
      </c>
      <c r="B29" s="259" t="str">
        <f aca="false">'Quadro Geral'!C30</f>
        <v>Atendimento CAU - Regional de Maringá</v>
      </c>
      <c r="C29" s="260" t="n">
        <f aca="false">'Quadro Geral'!I30</f>
        <v>0</v>
      </c>
      <c r="D29" s="248" t="n">
        <f aca="false">C29-P29</f>
        <v>0</v>
      </c>
      <c r="E29" s="261"/>
      <c r="F29" s="261"/>
      <c r="G29" s="261"/>
      <c r="H29" s="261"/>
      <c r="I29" s="261"/>
      <c r="J29" s="261"/>
      <c r="K29" s="261"/>
      <c r="L29" s="261"/>
      <c r="M29" s="261"/>
      <c r="N29" s="262" t="n">
        <f aca="false">SUM(E29:M29)</f>
        <v>0</v>
      </c>
      <c r="O29" s="261"/>
      <c r="P29" s="262" t="n">
        <f aca="false">N29+O29</f>
        <v>0</v>
      </c>
      <c r="Q29" s="263" t="n">
        <f aca="false">IFERROR(O29/$P$75*100,0)</f>
        <v>0</v>
      </c>
      <c r="R29" s="264" t="n">
        <v>23</v>
      </c>
      <c r="S29" s="265" t="n">
        <f aca="false">C29=P29</f>
        <v>1</v>
      </c>
      <c r="T29" s="266"/>
      <c r="U29" s="13" t="e">
        <f aca="false">#REF!</f>
        <v>#REF!</v>
      </c>
      <c r="V29" s="13" t="e">
        <f aca="false">#REF!</f>
        <v>#REF!</v>
      </c>
    </row>
    <row r="30" customFormat="false" ht="46.5" hidden="false" customHeight="false" outlineLevel="0" collapsed="false">
      <c r="A30" s="259" t="str">
        <f aca="false">'Quadro Geral'!A31</f>
        <v>Gerência Técnica - Coordenação de Atendimento</v>
      </c>
      <c r="B30" s="259" t="str">
        <f aca="false">'Quadro Geral'!C31</f>
        <v>Atendimento CAU - Regional de Pato Branco</v>
      </c>
      <c r="C30" s="260" t="n">
        <f aca="false">'Quadro Geral'!I31</f>
        <v>0</v>
      </c>
      <c r="D30" s="248" t="n">
        <f aca="false">C30-P30</f>
        <v>0</v>
      </c>
      <c r="E30" s="261"/>
      <c r="F30" s="261"/>
      <c r="G30" s="261"/>
      <c r="H30" s="261"/>
      <c r="I30" s="261"/>
      <c r="J30" s="261"/>
      <c r="K30" s="261"/>
      <c r="L30" s="261"/>
      <c r="M30" s="261"/>
      <c r="N30" s="262" t="n">
        <f aca="false">SUM(E30:M30)</f>
        <v>0</v>
      </c>
      <c r="O30" s="261"/>
      <c r="P30" s="262" t="n">
        <f aca="false">N30+O30</f>
        <v>0</v>
      </c>
      <c r="Q30" s="263" t="n">
        <f aca="false">IFERROR(O30/$P$75*100,0)</f>
        <v>0</v>
      </c>
      <c r="R30" s="264" t="n">
        <v>24</v>
      </c>
      <c r="S30" s="265" t="n">
        <f aca="false">C30=P30</f>
        <v>1</v>
      </c>
      <c r="T30" s="266"/>
      <c r="U30" s="13" t="e">
        <f aca="false">#REF!</f>
        <v>#REF!</v>
      </c>
      <c r="V30" s="13" t="e">
        <f aca="false">#REF!</f>
        <v>#REF!</v>
      </c>
    </row>
    <row r="31" customFormat="false" ht="46.5" hidden="false" customHeight="false" outlineLevel="0" collapsed="false">
      <c r="A31" s="259" t="str">
        <f aca="false">'Quadro Geral'!A32</f>
        <v>Gerência Técnica - Coordenação de Atendimento</v>
      </c>
      <c r="B31" s="259" t="str">
        <f aca="false">'Quadro Geral'!C32</f>
        <v>CSC - Atendimento</v>
      </c>
      <c r="C31" s="260" t="n">
        <f aca="false">'Quadro Geral'!I32</f>
        <v>109891.24</v>
      </c>
      <c r="D31" s="248" t="n">
        <f aca="false">C31-P31</f>
        <v>0</v>
      </c>
      <c r="E31" s="261"/>
      <c r="F31" s="261"/>
      <c r="G31" s="261"/>
      <c r="H31" s="261"/>
      <c r="I31" s="261"/>
      <c r="J31" s="261"/>
      <c r="K31" s="261" t="n">
        <v>109891.24</v>
      </c>
      <c r="L31" s="261"/>
      <c r="M31" s="261"/>
      <c r="N31" s="262" t="n">
        <f aca="false">SUM(E31:M31)</f>
        <v>109891.24</v>
      </c>
      <c r="O31" s="261"/>
      <c r="P31" s="262" t="n">
        <f aca="false">N31+O31</f>
        <v>109891.24</v>
      </c>
      <c r="Q31" s="263" t="n">
        <f aca="false">IFERROR(O31/$P$75*100,0)</f>
        <v>0</v>
      </c>
      <c r="R31" s="264" t="n">
        <v>25</v>
      </c>
      <c r="S31" s="265" t="n">
        <f aca="false">C31=P31</f>
        <v>1</v>
      </c>
      <c r="T31" s="266"/>
      <c r="U31" s="13" t="e">
        <f aca="false">#REF!</f>
        <v>#REF!</v>
      </c>
      <c r="V31" s="13" t="e">
        <f aca="false">#REF!</f>
        <v>#REF!</v>
      </c>
    </row>
    <row r="32" customFormat="false" ht="31" hidden="false" customHeight="false" outlineLevel="0" collapsed="false">
      <c r="A32" s="259" t="str">
        <f aca="false">'Quadro Geral'!A33</f>
        <v>Gerência Administrativa</v>
      </c>
      <c r="B32" s="259" t="str">
        <f aca="false">'Quadro Geral'!C33</f>
        <v>Manutenção e Desenvolvimento das Atividades da Ger. Administrativa - Sede</v>
      </c>
      <c r="C32" s="260" t="n">
        <f aca="false">'Quadro Geral'!I33</f>
        <v>2233543.54</v>
      </c>
      <c r="D32" s="248" t="n">
        <f aca="false">C32-P32</f>
        <v>0</v>
      </c>
      <c r="E32" s="261" t="n">
        <v>803878.14</v>
      </c>
      <c r="F32" s="261" t="n">
        <v>486</v>
      </c>
      <c r="G32" s="261" t="n">
        <v>40000</v>
      </c>
      <c r="H32" s="261"/>
      <c r="I32" s="261" t="n">
        <v>424</v>
      </c>
      <c r="J32" s="261" t="n">
        <v>1257708</v>
      </c>
      <c r="K32" s="261"/>
      <c r="L32" s="261"/>
      <c r="M32" s="261" t="n">
        <v>41047.4</v>
      </c>
      <c r="N32" s="262" t="n">
        <f aca="false">SUM(E32:M32)</f>
        <v>2143543.54</v>
      </c>
      <c r="O32" s="261" t="n">
        <v>90000</v>
      </c>
      <c r="P32" s="262" t="n">
        <f aca="false">N32+O32</f>
        <v>2233543.54</v>
      </c>
      <c r="Q32" s="263" t="n">
        <f aca="false">IFERROR(O32/$P$75*100,0)</f>
        <v>0.491090502296095</v>
      </c>
      <c r="R32" s="264" t="n">
        <v>26</v>
      </c>
      <c r="S32" s="265" t="n">
        <f aca="false">C32=P32</f>
        <v>1</v>
      </c>
      <c r="T32" s="266"/>
      <c r="U32" s="13" t="e">
        <f aca="false">#REF!</f>
        <v>#REF!</v>
      </c>
      <c r="V32" s="13" t="e">
        <f aca="false">#REF!</f>
        <v>#REF!</v>
      </c>
    </row>
    <row r="33" customFormat="false" ht="46.5" hidden="false" customHeight="false" outlineLevel="0" collapsed="false">
      <c r="A33" s="259" t="str">
        <f aca="false">'Quadro Geral'!A34</f>
        <v>Gerência Administrativa</v>
      </c>
      <c r="B33" s="259" t="str">
        <f aca="false">'Quadro Geral'!C34</f>
        <v>Manutenção e Desenvolvimento das Atividades da Ger. Administrativa nas Regionais (Cascavel, Londrina, Maringá, Pato Branco e Guarapuava)</v>
      </c>
      <c r="C33" s="260" t="n">
        <f aca="false">'Quadro Geral'!I34</f>
        <v>363417.93</v>
      </c>
      <c r="D33" s="248" t="n">
        <f aca="false">C33-P33</f>
        <v>0</v>
      </c>
      <c r="E33" s="261"/>
      <c r="F33" s="261" t="n">
        <v>1944</v>
      </c>
      <c r="G33" s="261" t="n">
        <v>14400</v>
      </c>
      <c r="H33" s="261"/>
      <c r="I33" s="261"/>
      <c r="J33" s="261" t="n">
        <v>347073.93</v>
      </c>
      <c r="K33" s="261"/>
      <c r="L33" s="261"/>
      <c r="M33" s="261"/>
      <c r="N33" s="262" t="n">
        <f aca="false">SUM(E33:M33)</f>
        <v>363417.93</v>
      </c>
      <c r="O33" s="261"/>
      <c r="P33" s="262" t="n">
        <f aca="false">N33+O33</f>
        <v>363417.93</v>
      </c>
      <c r="Q33" s="263" t="n">
        <f aca="false">IFERROR(O33/$P$75*100,0)</f>
        <v>0</v>
      </c>
      <c r="R33" s="264" t="n">
        <v>27</v>
      </c>
      <c r="S33" s="265" t="n">
        <f aca="false">C33=P33</f>
        <v>1</v>
      </c>
      <c r="T33" s="266"/>
      <c r="U33" s="13" t="e">
        <f aca="false">#REF!</f>
        <v>#REF!</v>
      </c>
      <c r="V33" s="13" t="e">
        <f aca="false">#REF!</f>
        <v>#REF!</v>
      </c>
    </row>
    <row r="34" customFormat="false" ht="31" hidden="false" customHeight="false" outlineLevel="0" collapsed="false">
      <c r="A34" s="259" t="str">
        <f aca="false">'Quadro Geral'!A35</f>
        <v>Gerência Administrativa</v>
      </c>
      <c r="B34" s="259" t="str">
        <f aca="false">'Quadro Geral'!C35</f>
        <v>Manutenção e Desenvolvimento das Atividades da Ger. Administrativa - Cascavel</v>
      </c>
      <c r="C34" s="260" t="n">
        <f aca="false">'Quadro Geral'!I35</f>
        <v>0</v>
      </c>
      <c r="D34" s="248" t="n">
        <f aca="false">C34-P34</f>
        <v>0</v>
      </c>
      <c r="E34" s="267"/>
      <c r="F34" s="267"/>
      <c r="G34" s="267"/>
      <c r="H34" s="267"/>
      <c r="I34" s="267"/>
      <c r="J34" s="267"/>
      <c r="K34" s="267"/>
      <c r="L34" s="267"/>
      <c r="M34" s="267"/>
      <c r="N34" s="268" t="n">
        <f aca="false">SUM(E34:M34)</f>
        <v>0</v>
      </c>
      <c r="O34" s="267"/>
      <c r="P34" s="268" t="n">
        <f aca="false">N34+O34</f>
        <v>0</v>
      </c>
      <c r="Q34" s="263" t="n">
        <f aca="false">IFERROR(O34/$P$75*100,0)</f>
        <v>0</v>
      </c>
      <c r="R34" s="264" t="n">
        <v>28</v>
      </c>
      <c r="S34" s="265" t="n">
        <f aca="false">C34=P34</f>
        <v>1</v>
      </c>
      <c r="T34" s="266"/>
      <c r="U34" s="13" t="e">
        <f aca="false">#REF!</f>
        <v>#REF!</v>
      </c>
      <c r="V34" s="13" t="e">
        <f aca="false">#REF!</f>
        <v>#REF!</v>
      </c>
    </row>
    <row r="35" customFormat="false" ht="31" hidden="false" customHeight="false" outlineLevel="0" collapsed="false">
      <c r="A35" s="259" t="str">
        <f aca="false">'Quadro Geral'!A36</f>
        <v>Gerência Administrativa</v>
      </c>
      <c r="B35" s="259" t="str">
        <f aca="false">'Quadro Geral'!C36</f>
        <v>Manutenção e Desenvolvimento das Atividades da Ger. Administrativa - Londrina</v>
      </c>
      <c r="C35" s="260" t="n">
        <f aca="false">'Quadro Geral'!I36</f>
        <v>0</v>
      </c>
      <c r="D35" s="248" t="n">
        <f aca="false">C35-P35</f>
        <v>0</v>
      </c>
      <c r="E35" s="267"/>
      <c r="F35" s="267"/>
      <c r="G35" s="267"/>
      <c r="H35" s="267"/>
      <c r="I35" s="267"/>
      <c r="J35" s="267"/>
      <c r="K35" s="267"/>
      <c r="L35" s="267"/>
      <c r="M35" s="267"/>
      <c r="N35" s="268" t="n">
        <f aca="false">SUM(E35:M35)</f>
        <v>0</v>
      </c>
      <c r="O35" s="267"/>
      <c r="P35" s="268" t="n">
        <f aca="false">N35+O35</f>
        <v>0</v>
      </c>
      <c r="Q35" s="263" t="n">
        <f aca="false">IFERROR(O35/$P$75*100,0)</f>
        <v>0</v>
      </c>
      <c r="R35" s="264" t="n">
        <v>29</v>
      </c>
      <c r="S35" s="265" t="n">
        <f aca="false">C35=P35</f>
        <v>1</v>
      </c>
      <c r="T35" s="266"/>
      <c r="U35" s="13" t="e">
        <f aca="false">#REF!</f>
        <v>#REF!</v>
      </c>
      <c r="V35" s="13" t="e">
        <f aca="false">#REF!</f>
        <v>#REF!</v>
      </c>
    </row>
    <row r="36" customFormat="false" ht="31" hidden="false" customHeight="false" outlineLevel="0" collapsed="false">
      <c r="A36" s="259" t="str">
        <f aca="false">'Quadro Geral'!A37</f>
        <v>Gerência Administrativa</v>
      </c>
      <c r="B36" s="259" t="str">
        <f aca="false">'Quadro Geral'!C37</f>
        <v>Manutenção e Desenvolvimento das Atividades da Ger. Administrativa - Maringá</v>
      </c>
      <c r="C36" s="260" t="n">
        <f aca="false">'Quadro Geral'!I37</f>
        <v>0</v>
      </c>
      <c r="D36" s="248" t="n">
        <f aca="false">C36-P36</f>
        <v>0</v>
      </c>
      <c r="E36" s="267"/>
      <c r="F36" s="267"/>
      <c r="G36" s="267"/>
      <c r="H36" s="267"/>
      <c r="I36" s="267"/>
      <c r="J36" s="267"/>
      <c r="K36" s="267"/>
      <c r="L36" s="267"/>
      <c r="M36" s="267"/>
      <c r="N36" s="268" t="n">
        <f aca="false">SUM(E36:M36)</f>
        <v>0</v>
      </c>
      <c r="O36" s="267"/>
      <c r="P36" s="268" t="n">
        <f aca="false">N36+O36</f>
        <v>0</v>
      </c>
      <c r="Q36" s="263" t="n">
        <f aca="false">IFERROR(O36/$P$75*100,0)</f>
        <v>0</v>
      </c>
      <c r="R36" s="264" t="n">
        <v>30</v>
      </c>
      <c r="S36" s="265" t="n">
        <f aca="false">C36=P36</f>
        <v>1</v>
      </c>
      <c r="T36" s="266"/>
      <c r="U36" s="13" t="e">
        <f aca="false">#REF!</f>
        <v>#REF!</v>
      </c>
      <c r="V36" s="13" t="e">
        <f aca="false">#REF!</f>
        <v>#REF!</v>
      </c>
    </row>
    <row r="37" customFormat="false" ht="31" hidden="false" customHeight="false" outlineLevel="0" collapsed="false">
      <c r="A37" s="259" t="str">
        <f aca="false">'Quadro Geral'!A38</f>
        <v>Gerência Administrativa</v>
      </c>
      <c r="B37" s="259" t="str">
        <f aca="false">'Quadro Geral'!C38</f>
        <v>Manutenção e Desenvolvimento das Atividades da Ger. Administrativa - Pato Branco</v>
      </c>
      <c r="C37" s="260" t="n">
        <f aca="false">'Quadro Geral'!I38</f>
        <v>0</v>
      </c>
      <c r="D37" s="248" t="n">
        <f aca="false">C37-P37</f>
        <v>0</v>
      </c>
      <c r="E37" s="267"/>
      <c r="F37" s="267"/>
      <c r="G37" s="267"/>
      <c r="H37" s="267"/>
      <c r="I37" s="267"/>
      <c r="J37" s="267"/>
      <c r="K37" s="267"/>
      <c r="L37" s="267"/>
      <c r="M37" s="267"/>
      <c r="N37" s="268" t="n">
        <f aca="false">SUM(E37:M37)</f>
        <v>0</v>
      </c>
      <c r="O37" s="267"/>
      <c r="P37" s="268" t="n">
        <f aca="false">N37+O37</f>
        <v>0</v>
      </c>
      <c r="Q37" s="263" t="n">
        <f aca="false">IFERROR(O37/$P$75*100,0)</f>
        <v>0</v>
      </c>
      <c r="R37" s="264" t="n">
        <v>31</v>
      </c>
      <c r="S37" s="265" t="n">
        <f aca="false">C37=P37</f>
        <v>1</v>
      </c>
      <c r="T37" s="266"/>
      <c r="U37" s="13" t="e">
        <f aca="false">#REF!</f>
        <v>#REF!</v>
      </c>
      <c r="V37" s="13" t="e">
        <f aca="false">#REF!</f>
        <v>#REF!</v>
      </c>
    </row>
    <row r="38" customFormat="false" ht="31" hidden="false" customHeight="false" outlineLevel="0" collapsed="false">
      <c r="A38" s="259" t="str">
        <f aca="false">'Quadro Geral'!A39</f>
        <v>Gerência Administrativa</v>
      </c>
      <c r="B38" s="259" t="str">
        <f aca="false">'Quadro Geral'!C39</f>
        <v>Manutenção e Desenvolvimento das Atividades da Ger. Administrativa - Guarapuava</v>
      </c>
      <c r="C38" s="260" t="n">
        <f aca="false">'Quadro Geral'!I39</f>
        <v>0</v>
      </c>
      <c r="D38" s="248" t="n">
        <f aca="false">C38-P38</f>
        <v>0</v>
      </c>
      <c r="E38" s="267"/>
      <c r="F38" s="267"/>
      <c r="G38" s="267"/>
      <c r="H38" s="267"/>
      <c r="I38" s="267"/>
      <c r="J38" s="267"/>
      <c r="K38" s="267"/>
      <c r="L38" s="267"/>
      <c r="M38" s="267"/>
      <c r="N38" s="268" t="n">
        <f aca="false">SUM(E38:M38)</f>
        <v>0</v>
      </c>
      <c r="O38" s="267"/>
      <c r="P38" s="268" t="n">
        <f aca="false">N38+O38</f>
        <v>0</v>
      </c>
      <c r="Q38" s="263" t="n">
        <f aca="false">IFERROR(O38/$P$75*100,0)</f>
        <v>0</v>
      </c>
      <c r="R38" s="264" t="n">
        <v>32</v>
      </c>
      <c r="S38" s="265" t="n">
        <f aca="false">C38=P38</f>
        <v>1</v>
      </c>
      <c r="T38" s="266"/>
      <c r="U38" s="13" t="e">
        <f aca="false">#REF!</f>
        <v>#REF!</v>
      </c>
      <c r="V38" s="13" t="e">
        <f aca="false">#REF!</f>
        <v>#REF!</v>
      </c>
    </row>
    <row r="39" customFormat="false" ht="31" hidden="false" customHeight="false" outlineLevel="0" collapsed="false">
      <c r="A39" s="259" t="str">
        <f aca="false">'Quadro Geral'!A40</f>
        <v>Gerência Administrativa</v>
      </c>
      <c r="B39" s="259" t="str">
        <f aca="false">'Quadro Geral'!C40</f>
        <v>Capacitação e Treinamentos</v>
      </c>
      <c r="C39" s="260" t="n">
        <f aca="false">'Quadro Geral'!I40</f>
        <v>40290</v>
      </c>
      <c r="D39" s="248" t="n">
        <f aca="false">C39-P39</f>
        <v>0</v>
      </c>
      <c r="E39" s="269" t="n">
        <v>20000</v>
      </c>
      <c r="F39" s="269" t="n">
        <v>4050</v>
      </c>
      <c r="G39" s="269"/>
      <c r="H39" s="269" t="n">
        <v>3240</v>
      </c>
      <c r="I39" s="269" t="n">
        <v>8000</v>
      </c>
      <c r="J39" s="269" t="n">
        <v>5000</v>
      </c>
      <c r="K39" s="269"/>
      <c r="L39" s="269"/>
      <c r="M39" s="269"/>
      <c r="N39" s="270" t="n">
        <f aca="false">SUM(E39:M39)</f>
        <v>40290</v>
      </c>
      <c r="O39" s="269"/>
      <c r="P39" s="270" t="n">
        <f aca="false">N39+O39</f>
        <v>40290</v>
      </c>
      <c r="Q39" s="263" t="n">
        <f aca="false">IFERROR(O39/$P$75*100,0)</f>
        <v>0</v>
      </c>
      <c r="R39" s="264" t="n">
        <v>33</v>
      </c>
      <c r="S39" s="265" t="n">
        <f aca="false">C39=P39</f>
        <v>1</v>
      </c>
      <c r="T39" s="266"/>
      <c r="U39" s="13" t="e">
        <f aca="false">#REF!</f>
        <v>#REF!</v>
      </c>
      <c r="V39" s="13" t="e">
        <f aca="false">#REF!</f>
        <v>#REF!</v>
      </c>
    </row>
    <row r="40" customFormat="false" ht="31" hidden="false" customHeight="false" outlineLevel="0" collapsed="false">
      <c r="A40" s="259" t="str">
        <f aca="false">'Quadro Geral'!A41</f>
        <v>Gerência de Comunicação</v>
      </c>
      <c r="B40" s="259" t="str">
        <f aca="false">'Quadro Geral'!C41</f>
        <v>Desenvolvimento e manutenção das atividades da Gerência de Comunicação</v>
      </c>
      <c r="C40" s="260" t="n">
        <f aca="false">'Quadro Geral'!I41</f>
        <v>842015.8</v>
      </c>
      <c r="D40" s="248" t="n">
        <f aca="false">C40-P40</f>
        <v>0</v>
      </c>
      <c r="E40" s="269" t="n">
        <v>436377.8</v>
      </c>
      <c r="F40" s="269" t="n">
        <v>25500</v>
      </c>
      <c r="G40" s="269"/>
      <c r="H40" s="269"/>
      <c r="I40" s="269" t="n">
        <v>18000</v>
      </c>
      <c r="J40" s="269" t="n">
        <v>342138</v>
      </c>
      <c r="K40" s="269"/>
      <c r="L40" s="269"/>
      <c r="M40" s="269"/>
      <c r="N40" s="270" t="n">
        <f aca="false">SUM(E40:M40)</f>
        <v>822015.8</v>
      </c>
      <c r="O40" s="269" t="n">
        <v>20000</v>
      </c>
      <c r="P40" s="270" t="n">
        <f aca="false">N40+O40</f>
        <v>842015.8</v>
      </c>
      <c r="Q40" s="263" t="n">
        <f aca="false">IFERROR(O40/$P$75*100,0)</f>
        <v>0.109131222732466</v>
      </c>
      <c r="R40" s="264" t="n">
        <v>34</v>
      </c>
      <c r="S40" s="265" t="n">
        <f aca="false">C40=P40</f>
        <v>1</v>
      </c>
      <c r="T40" s="266"/>
      <c r="U40" s="13" t="e">
        <f aca="false">#REF!</f>
        <v>#REF!</v>
      </c>
      <c r="V40" s="13" t="e">
        <f aca="false">#REF!</f>
        <v>#REF!</v>
      </c>
    </row>
    <row r="41" customFormat="false" ht="46.5" hidden="false" customHeight="false" outlineLevel="0" collapsed="false">
      <c r="A41" s="259" t="str">
        <f aca="false">'Quadro Geral'!A42</f>
        <v>Gerência Contábil e Financeira</v>
      </c>
      <c r="B41" s="259" t="str">
        <f aca="false">'Quadro Geral'!C42</f>
        <v>Manutenção e Desenvolvimento das Atividades do Departamento Financeiro e Contábil</v>
      </c>
      <c r="C41" s="260" t="n">
        <f aca="false">'Quadro Geral'!I42</f>
        <v>1081382.1</v>
      </c>
      <c r="D41" s="248" t="n">
        <f aca="false">C41-P41</f>
        <v>0</v>
      </c>
      <c r="E41" s="269" t="n">
        <v>745352.08</v>
      </c>
      <c r="F41" s="269" t="n">
        <v>486</v>
      </c>
      <c r="G41" s="269"/>
      <c r="H41" s="269"/>
      <c r="I41" s="269" t="n">
        <v>100</v>
      </c>
      <c r="J41" s="269" t="n">
        <v>57564</v>
      </c>
      <c r="K41" s="269"/>
      <c r="L41" s="269"/>
      <c r="M41" s="269" t="n">
        <v>277880.02</v>
      </c>
      <c r="N41" s="270" t="n">
        <f aca="false">SUM(E41:M41)</f>
        <v>1081382.1</v>
      </c>
      <c r="O41" s="269"/>
      <c r="P41" s="270" t="n">
        <f aca="false">N41+O41</f>
        <v>1081382.1</v>
      </c>
      <c r="Q41" s="263" t="n">
        <f aca="false">IFERROR(O41/$P$75*100,0)</f>
        <v>0</v>
      </c>
      <c r="R41" s="264" t="n">
        <v>35</v>
      </c>
      <c r="S41" s="265" t="n">
        <f aca="false">C41=P41</f>
        <v>1</v>
      </c>
      <c r="T41" s="266"/>
      <c r="U41" s="13" t="e">
        <f aca="false">#REF!</f>
        <v>#REF!</v>
      </c>
      <c r="V41" s="13" t="e">
        <f aca="false">#REF!</f>
        <v>#REF!</v>
      </c>
    </row>
    <row r="42" customFormat="false" ht="46.5" hidden="false" customHeight="false" outlineLevel="0" collapsed="false">
      <c r="A42" s="259" t="str">
        <f aca="false">'Quadro Geral'!A43</f>
        <v>Gerência Contábil e Financeira</v>
      </c>
      <c r="B42" s="259" t="str">
        <f aca="false">'Quadro Geral'!C43</f>
        <v>Fundo de Apoio - CAU Básico</v>
      </c>
      <c r="C42" s="260" t="n">
        <f aca="false">'Quadro Geral'!I43</f>
        <v>210770.87</v>
      </c>
      <c r="D42" s="248" t="n">
        <f aca="false">C42-P42</f>
        <v>0</v>
      </c>
      <c r="E42" s="269"/>
      <c r="F42" s="269"/>
      <c r="G42" s="269"/>
      <c r="H42" s="269"/>
      <c r="I42" s="269"/>
      <c r="J42" s="269"/>
      <c r="K42" s="269" t="n">
        <v>210770.87</v>
      </c>
      <c r="L42" s="269"/>
      <c r="M42" s="269"/>
      <c r="N42" s="270" t="n">
        <f aca="false">SUM(E42:M42)</f>
        <v>210770.87</v>
      </c>
      <c r="O42" s="269"/>
      <c r="P42" s="270" t="n">
        <f aca="false">N42+O42</f>
        <v>210770.87</v>
      </c>
      <c r="Q42" s="263" t="n">
        <f aca="false">IFERROR(O42/$P$75*100,0)</f>
        <v>0</v>
      </c>
      <c r="R42" s="264" t="n">
        <v>36</v>
      </c>
      <c r="S42" s="265" t="n">
        <f aca="false">C42=P42</f>
        <v>1</v>
      </c>
      <c r="T42" s="266"/>
      <c r="U42" s="13" t="e">
        <f aca="false">#REF!</f>
        <v>#REF!</v>
      </c>
      <c r="V42" s="13" t="e">
        <f aca="false">#REF!</f>
        <v>#REF!</v>
      </c>
    </row>
    <row r="43" customFormat="false" ht="31" hidden="false" customHeight="false" outlineLevel="0" collapsed="false">
      <c r="A43" s="259" t="str">
        <f aca="false">'Quadro Geral'!A44</f>
        <v>Gerência Jurídica</v>
      </c>
      <c r="B43" s="259" t="str">
        <f aca="false">'Quadro Geral'!C44</f>
        <v>Manutenção e Desenvolvimento das Atividades da Assessoria Jurídica</v>
      </c>
      <c r="C43" s="260" t="n">
        <f aca="false">'Quadro Geral'!I44</f>
        <v>1064283.65</v>
      </c>
      <c r="D43" s="248" t="n">
        <f aca="false">C43-P43</f>
        <v>0</v>
      </c>
      <c r="E43" s="269" t="n">
        <v>896697.65</v>
      </c>
      <c r="F43" s="269" t="n">
        <v>486</v>
      </c>
      <c r="G43" s="269"/>
      <c r="H43" s="269"/>
      <c r="I43" s="269" t="n">
        <v>100</v>
      </c>
      <c r="J43" s="269" t="n">
        <v>27000</v>
      </c>
      <c r="K43" s="269"/>
      <c r="L43" s="269"/>
      <c r="M43" s="269" t="n">
        <v>140000</v>
      </c>
      <c r="N43" s="270" t="n">
        <f aca="false">SUM(E43:M43)</f>
        <v>1064283.65</v>
      </c>
      <c r="O43" s="269"/>
      <c r="P43" s="270" t="n">
        <f aca="false">N43+O43</f>
        <v>1064283.65</v>
      </c>
      <c r="Q43" s="263" t="n">
        <f aca="false">IFERROR(O43/$P$75*100,0)</f>
        <v>0</v>
      </c>
      <c r="R43" s="264" t="n">
        <v>37</v>
      </c>
      <c r="S43" s="265" t="n">
        <f aca="false">C43=P43</f>
        <v>1</v>
      </c>
      <c r="T43" s="266"/>
      <c r="U43" s="13" t="e">
        <f aca="false">#REF!</f>
        <v>#REF!</v>
      </c>
      <c r="V43" s="13" t="e">
        <f aca="false">#REF!</f>
        <v>#REF!</v>
      </c>
    </row>
    <row r="44" customFormat="false" ht="62" hidden="false" customHeight="false" outlineLevel="0" collapsed="false">
      <c r="A44" s="259" t="str">
        <f aca="false">'Quadro Geral'!A45</f>
        <v>Gerência de Planejamento e Gestão Estratégica</v>
      </c>
      <c r="B44" s="259" t="str">
        <f aca="false">'Quadro Geral'!C45</f>
        <v>Manutenção e Desenvolvimento das Atividades da Gerência de Planejamento e Gestão Estratégica</v>
      </c>
      <c r="C44" s="260" t="n">
        <f aca="false">'Quadro Geral'!I45</f>
        <v>291996.2</v>
      </c>
      <c r="D44" s="248" t="n">
        <f aca="false">C44-P44</f>
        <v>0</v>
      </c>
      <c r="E44" s="269" t="n">
        <v>291410.2</v>
      </c>
      <c r="F44" s="269"/>
      <c r="G44" s="269"/>
      <c r="H44" s="269" t="n">
        <v>486</v>
      </c>
      <c r="I44" s="269" t="n">
        <v>100</v>
      </c>
      <c r="J44" s="269"/>
      <c r="K44" s="269"/>
      <c r="L44" s="269"/>
      <c r="M44" s="269"/>
      <c r="N44" s="270" t="n">
        <f aca="false">SUM(E44:M44)</f>
        <v>291996.2</v>
      </c>
      <c r="O44" s="269"/>
      <c r="P44" s="270" t="n">
        <f aca="false">N44+O44</f>
        <v>291996.2</v>
      </c>
      <c r="Q44" s="263" t="n">
        <f aca="false">IFERROR(O44/$P$75*100,0)</f>
        <v>0</v>
      </c>
      <c r="R44" s="264" t="n">
        <v>38</v>
      </c>
      <c r="S44" s="265" t="n">
        <f aca="false">C44=P44</f>
        <v>1</v>
      </c>
      <c r="T44" s="266"/>
      <c r="U44" s="13" t="e">
        <f aca="false">#REF!</f>
        <v>#REF!</v>
      </c>
      <c r="V44" s="13" t="e">
        <f aca="false">#REF!</f>
        <v>#REF!</v>
      </c>
    </row>
    <row r="45" customFormat="false" ht="62" hidden="false" customHeight="false" outlineLevel="0" collapsed="false">
      <c r="A45" s="259" t="str">
        <f aca="false">'Quadro Geral'!A46</f>
        <v>Gerência de Planejamento e Gestão Estratégica</v>
      </c>
      <c r="B45" s="259" t="str">
        <f aca="false">'Quadro Geral'!C46</f>
        <v>Reserva de Contingência</v>
      </c>
      <c r="C45" s="260" t="n">
        <f aca="false">'Quadro Geral'!I46</f>
        <v>205882.9246</v>
      </c>
      <c r="D45" s="248" t="n">
        <f aca="false">C45-P45</f>
        <v>0</v>
      </c>
      <c r="E45" s="269"/>
      <c r="F45" s="269"/>
      <c r="G45" s="269"/>
      <c r="H45" s="269"/>
      <c r="I45" s="269"/>
      <c r="J45" s="269"/>
      <c r="K45" s="269" t="n">
        <v>205882.9246</v>
      </c>
      <c r="L45" s="269"/>
      <c r="M45" s="269"/>
      <c r="N45" s="270" t="n">
        <f aca="false">SUM(E45:M45)</f>
        <v>205882.9246</v>
      </c>
      <c r="O45" s="269"/>
      <c r="P45" s="270" t="n">
        <f aca="false">N45+O45</f>
        <v>205882.9246</v>
      </c>
      <c r="Q45" s="263" t="n">
        <f aca="false">IFERROR(O45/$P$75*100,0)</f>
        <v>0</v>
      </c>
      <c r="R45" s="264" t="n">
        <v>39</v>
      </c>
      <c r="S45" s="265" t="n">
        <f aca="false">C45=P45</f>
        <v>1</v>
      </c>
      <c r="T45" s="266"/>
      <c r="U45" s="13" t="e">
        <f aca="false">#REF!</f>
        <v>#REF!</v>
      </c>
      <c r="V45" s="13" t="e">
        <f aca="false">#REF!</f>
        <v>#REF!</v>
      </c>
    </row>
    <row r="46" customFormat="false" ht="62" hidden="false" customHeight="false" outlineLevel="0" collapsed="false">
      <c r="A46" s="259" t="str">
        <f aca="false">'Quadro Geral'!A47</f>
        <v>Gabinete da Presidência e Secretária da Presidência</v>
      </c>
      <c r="B46" s="259" t="str">
        <f aca="false">'Quadro Geral'!C47</f>
        <v>Assistência Técnica em Habitação de Interesse Social (ATHIS)</v>
      </c>
      <c r="C46" s="260" t="n">
        <f aca="false">'Quadro Geral'!I47</f>
        <v>238711</v>
      </c>
      <c r="D46" s="248" t="n">
        <f aca="false">C46-P46</f>
        <v>0</v>
      </c>
      <c r="E46" s="269"/>
      <c r="F46" s="269"/>
      <c r="G46" s="269"/>
      <c r="H46" s="269"/>
      <c r="I46" s="269"/>
      <c r="J46" s="269"/>
      <c r="K46" s="269" t="n">
        <v>238711</v>
      </c>
      <c r="L46" s="269"/>
      <c r="M46" s="269"/>
      <c r="N46" s="270" t="n">
        <f aca="false">SUM(E46:M46)</f>
        <v>238711</v>
      </c>
      <c r="O46" s="269"/>
      <c r="P46" s="270" t="n">
        <f aca="false">N46+O46</f>
        <v>238711</v>
      </c>
      <c r="Q46" s="263" t="n">
        <f aca="false">IFERROR(O46/$P$75*100,0)</f>
        <v>0</v>
      </c>
      <c r="R46" s="264" t="n">
        <v>40</v>
      </c>
      <c r="S46" s="265" t="n">
        <f aca="false">C46=P46</f>
        <v>1</v>
      </c>
      <c r="T46" s="266"/>
      <c r="U46" s="13" t="e">
        <f aca="false">#REF!</f>
        <v>#REF!</v>
      </c>
      <c r="V46" s="13" t="e">
        <f aca="false">#REF!</f>
        <v>#REF!</v>
      </c>
    </row>
    <row r="47" customFormat="false" ht="62" hidden="false" customHeight="false" outlineLevel="0" collapsed="false">
      <c r="A47" s="259" t="str">
        <f aca="false">'Quadro Geral'!A48</f>
        <v>Gabinete da Presidência e Secretária da Presidência</v>
      </c>
      <c r="B47" s="259" t="str">
        <f aca="false">'Quadro Geral'!C48</f>
        <v>Edital de Patrocínios</v>
      </c>
      <c r="C47" s="260" t="n">
        <f aca="false">'Quadro Geral'!I48</f>
        <v>56000</v>
      </c>
      <c r="D47" s="248" t="n">
        <f aca="false">C47-P47</f>
        <v>0</v>
      </c>
      <c r="E47" s="269"/>
      <c r="F47" s="269"/>
      <c r="G47" s="269"/>
      <c r="H47" s="269"/>
      <c r="I47" s="269"/>
      <c r="J47" s="269"/>
      <c r="K47" s="269" t="n">
        <v>56000</v>
      </c>
      <c r="L47" s="269"/>
      <c r="M47" s="269"/>
      <c r="N47" s="270" t="n">
        <f aca="false">SUM(E47:M47)</f>
        <v>56000</v>
      </c>
      <c r="O47" s="269"/>
      <c r="P47" s="270" t="n">
        <f aca="false">N47+O47</f>
        <v>56000</v>
      </c>
      <c r="Q47" s="263" t="n">
        <f aca="false">IFERROR(O47/$P$75*100,0)</f>
        <v>0</v>
      </c>
      <c r="R47" s="264" t="n">
        <v>41</v>
      </c>
      <c r="S47" s="265" t="n">
        <f aca="false">C47=P47</f>
        <v>1</v>
      </c>
      <c r="T47" s="266"/>
      <c r="U47" s="13" t="e">
        <f aca="false">#REF!</f>
        <v>#REF!</v>
      </c>
      <c r="V47" s="13" t="e">
        <f aca="false">#REF!</f>
        <v>#REF!</v>
      </c>
    </row>
    <row r="48" customFormat="false" ht="31" hidden="false" customHeight="false" outlineLevel="0" collapsed="false">
      <c r="A48" s="259" t="str">
        <f aca="false">'Quadro Geral'!A49</f>
        <v>Gerência Administrativa</v>
      </c>
      <c r="B48" s="259" t="str">
        <f aca="false">'Quadro Geral'!C49</f>
        <v>PDTI</v>
      </c>
      <c r="C48" s="260" t="n">
        <f aca="false">'Quadro Geral'!I49</f>
        <v>115000</v>
      </c>
      <c r="D48" s="248" t="n">
        <f aca="false">C48-P48</f>
        <v>0</v>
      </c>
      <c r="E48" s="269"/>
      <c r="F48" s="269"/>
      <c r="G48" s="269"/>
      <c r="H48" s="269"/>
      <c r="I48" s="269"/>
      <c r="J48" s="269"/>
      <c r="K48" s="269"/>
      <c r="L48" s="269"/>
      <c r="M48" s="269"/>
      <c r="N48" s="270" t="n">
        <f aca="false">SUM(E48:M48)</f>
        <v>0</v>
      </c>
      <c r="O48" s="269" t="n">
        <v>115000</v>
      </c>
      <c r="P48" s="270" t="n">
        <f aca="false">N48+O48</f>
        <v>115000</v>
      </c>
      <c r="Q48" s="263" t="n">
        <f aca="false">IFERROR(O48/$P$75*100,0)</f>
        <v>0.627504530711678</v>
      </c>
      <c r="R48" s="264" t="n">
        <v>42</v>
      </c>
      <c r="S48" s="265" t="n">
        <f aca="false">C48=P48</f>
        <v>1</v>
      </c>
      <c r="T48" s="266"/>
      <c r="U48" s="13" t="e">
        <f aca="false">#REF!</f>
        <v>#REF!</v>
      </c>
      <c r="V48" s="13" t="e">
        <f aca="false">#REF!</f>
        <v>#REF!</v>
      </c>
    </row>
    <row r="49" customFormat="false" ht="31" hidden="false" customHeight="false" outlineLevel="0" collapsed="false">
      <c r="A49" s="259" t="str">
        <f aca="false">'Quadro Geral'!A50</f>
        <v>Gerência Administrativa</v>
      </c>
      <c r="B49" s="259" t="str">
        <f aca="false">'Quadro Geral'!C50</f>
        <v>Reforma da Sede Propria</v>
      </c>
      <c r="C49" s="260" t="n">
        <f aca="false">'Quadro Geral'!I50</f>
        <v>3715000</v>
      </c>
      <c r="D49" s="248" t="n">
        <f aca="false">C49-P49</f>
        <v>0</v>
      </c>
      <c r="E49" s="269"/>
      <c r="F49" s="269"/>
      <c r="G49" s="269"/>
      <c r="H49" s="269"/>
      <c r="I49" s="269"/>
      <c r="J49" s="269" t="n">
        <v>15000</v>
      </c>
      <c r="K49" s="269"/>
      <c r="L49" s="269"/>
      <c r="M49" s="269"/>
      <c r="N49" s="270" t="n">
        <f aca="false">SUM(E49:M49)</f>
        <v>15000</v>
      </c>
      <c r="O49" s="269" t="n">
        <v>3700000</v>
      </c>
      <c r="P49" s="270" t="n">
        <f aca="false">N49+O49</f>
        <v>3715000</v>
      </c>
      <c r="Q49" s="263" t="n">
        <f aca="false">IFERROR(O49/$P$75*100,0)</f>
        <v>20.1892762055061</v>
      </c>
      <c r="R49" s="264" t="n">
        <v>43</v>
      </c>
      <c r="S49" s="265" t="n">
        <f aca="false">C49=P49</f>
        <v>1</v>
      </c>
      <c r="T49" s="266"/>
      <c r="U49" s="13" t="e">
        <f aca="false">#REF!</f>
        <v>#REF!</v>
      </c>
      <c r="V49" s="13" t="e">
        <f aca="false">#REF!</f>
        <v>#REF!</v>
      </c>
    </row>
    <row r="50" customFormat="false" ht="31" hidden="false" customHeight="false" outlineLevel="0" collapsed="false">
      <c r="A50" s="259" t="str">
        <f aca="false">'Quadro Geral'!A51</f>
        <v>Gerência de Comunicação</v>
      </c>
      <c r="B50" s="259" t="str">
        <f aca="false">'Quadro Geral'!C51</f>
        <v>Comissão temporária Construindo em BIM (Building Information Modeling)</v>
      </c>
      <c r="C50" s="260" t="n">
        <f aca="false">'Quadro Geral'!I51</f>
        <v>500</v>
      </c>
      <c r="D50" s="248" t="n">
        <f aca="false">C50-P50</f>
        <v>0</v>
      </c>
      <c r="E50" s="269"/>
      <c r="F50" s="269"/>
      <c r="G50" s="269"/>
      <c r="H50" s="269" t="n">
        <v>250</v>
      </c>
      <c r="I50" s="269" t="n">
        <v>250</v>
      </c>
      <c r="J50" s="269"/>
      <c r="K50" s="269"/>
      <c r="L50" s="269"/>
      <c r="M50" s="269"/>
      <c r="N50" s="270" t="n">
        <f aca="false">SUM(E50:M50)</f>
        <v>500</v>
      </c>
      <c r="O50" s="269"/>
      <c r="P50" s="270" t="n">
        <f aca="false">N50+O50</f>
        <v>500</v>
      </c>
      <c r="Q50" s="263" t="n">
        <f aca="false">IFERROR(O50/$P$75*100,0)</f>
        <v>0</v>
      </c>
      <c r="R50" s="264" t="n">
        <v>44</v>
      </c>
      <c r="S50" s="265" t="n">
        <f aca="false">C50=P50</f>
        <v>1</v>
      </c>
      <c r="T50" s="266"/>
      <c r="U50" s="13" t="e">
        <f aca="false">#REF!</f>
        <v>#REF!</v>
      </c>
      <c r="V50" s="13" t="e">
        <f aca="false">#REF!</f>
        <v>#REF!</v>
      </c>
    </row>
    <row r="51" customFormat="false" ht="62" hidden="false" customHeight="false" outlineLevel="0" collapsed="false">
      <c r="A51" s="259" t="str">
        <f aca="false">'Quadro Geral'!A52</f>
        <v>Gabinete da Presidência e Secretária da Presidência</v>
      </c>
      <c r="B51" s="259" t="str">
        <f aca="false">'Quadro Geral'!C52</f>
        <v>Câmaras Técnicas</v>
      </c>
      <c r="C51" s="260" t="n">
        <f aca="false">'Quadro Geral'!I52</f>
        <v>0</v>
      </c>
      <c r="D51" s="248" t="n">
        <f aca="false">C51-P51</f>
        <v>0</v>
      </c>
      <c r="E51" s="269"/>
      <c r="F51" s="269"/>
      <c r="G51" s="269"/>
      <c r="H51" s="269" t="n">
        <v>0</v>
      </c>
      <c r="I51" s="269" t="n">
        <v>0</v>
      </c>
      <c r="J51" s="269" t="n">
        <v>0</v>
      </c>
      <c r="K51" s="269"/>
      <c r="L51" s="269"/>
      <c r="M51" s="269"/>
      <c r="N51" s="270" t="n">
        <f aca="false">SUM(E51:M51)</f>
        <v>0</v>
      </c>
      <c r="O51" s="269"/>
      <c r="P51" s="270" t="n">
        <f aca="false">N51+O51</f>
        <v>0</v>
      </c>
      <c r="Q51" s="263" t="n">
        <f aca="false">IFERROR(O51/$P$75*100,0)</f>
        <v>0</v>
      </c>
      <c r="R51" s="264" t="n">
        <v>45</v>
      </c>
      <c r="S51" s="265" t="n">
        <f aca="false">C51=P51</f>
        <v>1</v>
      </c>
      <c r="T51" s="266"/>
      <c r="U51" s="13" t="e">
        <f aca="false">#REF!</f>
        <v>#REF!</v>
      </c>
      <c r="V51" s="13" t="e">
        <f aca="false">#REF!</f>
        <v>#REF!</v>
      </c>
    </row>
    <row r="52" customFormat="false" ht="31" hidden="false" customHeight="false" outlineLevel="0" collapsed="false">
      <c r="A52" s="259" t="str">
        <f aca="false">'Quadro Geral'!A53</f>
        <v>Gerência de Comunicação</v>
      </c>
      <c r="B52" s="259" t="str">
        <f aca="false">'Quadro Geral'!C53</f>
        <v>Paraná Conectado (Observatório )</v>
      </c>
      <c r="C52" s="260" t="n">
        <f aca="false">'Quadro Geral'!I53</f>
        <v>500</v>
      </c>
      <c r="D52" s="248" t="n">
        <f aca="false">C52-P52</f>
        <v>0</v>
      </c>
      <c r="E52" s="269"/>
      <c r="F52" s="269"/>
      <c r="G52" s="269"/>
      <c r="H52" s="269" t="n">
        <v>250</v>
      </c>
      <c r="I52" s="269" t="n">
        <v>250</v>
      </c>
      <c r="J52" s="269" t="n">
        <v>0</v>
      </c>
      <c r="K52" s="269"/>
      <c r="L52" s="269"/>
      <c r="M52" s="269"/>
      <c r="N52" s="270" t="n">
        <f aca="false">SUM(E52:M52)</f>
        <v>500</v>
      </c>
      <c r="O52" s="269"/>
      <c r="P52" s="270" t="n">
        <f aca="false">N52+O52</f>
        <v>500</v>
      </c>
      <c r="Q52" s="263" t="n">
        <f aca="false">IFERROR(O52/$P$75*100,0)</f>
        <v>0</v>
      </c>
      <c r="R52" s="264" t="n">
        <v>46</v>
      </c>
      <c r="S52" s="265" t="n">
        <f aca="false">C52=P52</f>
        <v>1</v>
      </c>
      <c r="T52" s="266"/>
      <c r="U52" s="13" t="e">
        <f aca="false">#REF!</f>
        <v>#REF!</v>
      </c>
      <c r="V52" s="13" t="e">
        <f aca="false">#REF!</f>
        <v>#REF!</v>
      </c>
    </row>
    <row r="53" customFormat="false" ht="31" hidden="false" customHeight="false" outlineLevel="0" collapsed="false">
      <c r="A53" s="259" t="str">
        <f aca="false">'Quadro Geral'!A54</f>
        <v>Gerência de Comunicação</v>
      </c>
      <c r="B53" s="259" t="str">
        <f aca="false">'Quadro Geral'!C54</f>
        <v>Semana da Arquitetura e Urbanismo</v>
      </c>
      <c r="C53" s="260" t="n">
        <f aca="false">'Quadro Geral'!I54</f>
        <v>3000</v>
      </c>
      <c r="D53" s="248" t="n">
        <f aca="false">C53-P53</f>
        <v>0</v>
      </c>
      <c r="E53" s="269"/>
      <c r="F53" s="269"/>
      <c r="G53" s="269"/>
      <c r="H53" s="269" t="n">
        <v>1000</v>
      </c>
      <c r="I53" s="269" t="n">
        <v>1000</v>
      </c>
      <c r="J53" s="269" t="n">
        <v>1000</v>
      </c>
      <c r="K53" s="269"/>
      <c r="L53" s="269"/>
      <c r="M53" s="269"/>
      <c r="N53" s="270" t="n">
        <f aca="false">SUM(E53:M53)</f>
        <v>3000</v>
      </c>
      <c r="O53" s="269"/>
      <c r="P53" s="270" t="n">
        <f aca="false">N53+O53</f>
        <v>3000</v>
      </c>
      <c r="Q53" s="263" t="n">
        <f aca="false">IFERROR(O53/$P$75*100,0)</f>
        <v>0</v>
      </c>
      <c r="R53" s="264" t="n">
        <v>47</v>
      </c>
      <c r="S53" s="265" t="n">
        <f aca="false">C53=P53</f>
        <v>1</v>
      </c>
      <c r="T53" s="266"/>
      <c r="U53" s="13" t="e">
        <f aca="false">#REF!</f>
        <v>#REF!</v>
      </c>
      <c r="V53" s="13" t="e">
        <f aca="false">#REF!</f>
        <v>#REF!</v>
      </c>
    </row>
    <row r="54" customFormat="false" ht="31" hidden="false" customHeight="false" outlineLevel="0" collapsed="false">
      <c r="A54" s="259" t="str">
        <f aca="false">'Quadro Geral'!A55</f>
        <v>Gerência de Comunicação</v>
      </c>
      <c r="B54" s="259" t="str">
        <f aca="false">'Quadro Geral'!C55</f>
        <v>Dia do Arquiteto e Urbanista</v>
      </c>
      <c r="C54" s="260" t="n">
        <f aca="false">'Quadro Geral'!I55</f>
        <v>72000</v>
      </c>
      <c r="D54" s="248" t="n">
        <f aca="false">C54-P54</f>
        <v>0</v>
      </c>
      <c r="E54" s="269"/>
      <c r="F54" s="269"/>
      <c r="G54" s="269"/>
      <c r="H54" s="269" t="n">
        <v>15000</v>
      </c>
      <c r="I54" s="269" t="n">
        <v>7000</v>
      </c>
      <c r="J54" s="269" t="n">
        <v>50000</v>
      </c>
      <c r="K54" s="269"/>
      <c r="L54" s="269"/>
      <c r="M54" s="269"/>
      <c r="N54" s="270" t="n">
        <f aca="false">SUM(E54:M54)</f>
        <v>72000</v>
      </c>
      <c r="O54" s="269"/>
      <c r="P54" s="270" t="n">
        <f aca="false">N54+O54</f>
        <v>72000</v>
      </c>
      <c r="Q54" s="263" t="n">
        <f aca="false">IFERROR(O54/$P$75*100,0)</f>
        <v>0</v>
      </c>
      <c r="R54" s="264" t="n">
        <v>48</v>
      </c>
      <c r="S54" s="265" t="n">
        <f aca="false">C54=P54</f>
        <v>1</v>
      </c>
      <c r="T54" s="266"/>
      <c r="U54" s="13" t="e">
        <f aca="false">#REF!</f>
        <v>#REF!</v>
      </c>
      <c r="V54" s="13" t="e">
        <f aca="false">#REF!</f>
        <v>#REF!</v>
      </c>
    </row>
    <row r="55" customFormat="false" ht="46.5" hidden="false" customHeight="false" outlineLevel="0" collapsed="false">
      <c r="A55" s="259" t="str">
        <f aca="false">'Quadro Geral'!A56</f>
        <v>Gerência Técnica - Coordenação de Atendimento</v>
      </c>
      <c r="B55" s="259" t="str">
        <f aca="false">'Quadro Geral'!C56</f>
        <v>Implantação do Chatbot e URA</v>
      </c>
      <c r="C55" s="260" t="n">
        <f aca="false">'Quadro Geral'!I56</f>
        <v>30000</v>
      </c>
      <c r="D55" s="248" t="n">
        <f aca="false">C55-P55</f>
        <v>0</v>
      </c>
      <c r="E55" s="269"/>
      <c r="F55" s="269"/>
      <c r="G55" s="269"/>
      <c r="H55" s="269"/>
      <c r="I55" s="269"/>
      <c r="J55" s="269" t="n">
        <v>30000</v>
      </c>
      <c r="K55" s="269"/>
      <c r="L55" s="269"/>
      <c r="M55" s="269"/>
      <c r="N55" s="270" t="n">
        <f aca="false">SUM(E55:M55)</f>
        <v>30000</v>
      </c>
      <c r="O55" s="269"/>
      <c r="P55" s="270" t="n">
        <f aca="false">N55+O55</f>
        <v>30000</v>
      </c>
      <c r="Q55" s="263" t="n">
        <f aca="false">IFERROR(O55/$P$75*100,0)</f>
        <v>0</v>
      </c>
      <c r="R55" s="264" t="n">
        <v>49</v>
      </c>
      <c r="S55" s="265" t="n">
        <f aca="false">C55=P55</f>
        <v>1</v>
      </c>
      <c r="T55" s="266"/>
      <c r="U55" s="13" t="e">
        <f aca="false">#REF!</f>
        <v>#REF!</v>
      </c>
      <c r="V55" s="13" t="e">
        <f aca="false">#REF!</f>
        <v>#REF!</v>
      </c>
    </row>
    <row r="56" customFormat="false" ht="62" hidden="false" customHeight="false" outlineLevel="0" collapsed="false">
      <c r="A56" s="259" t="str">
        <f aca="false">'Quadro Geral'!A57</f>
        <v>Gabinete da Presidência e Secretária da Presidência</v>
      </c>
      <c r="B56" s="259" t="str">
        <f aca="false">'Quadro Geral'!C57</f>
        <v>GT para otimização dos fluxos de processos e trâmites das Comissões</v>
      </c>
      <c r="C56" s="260" t="n">
        <f aca="false">'Quadro Geral'!I57</f>
        <v>63000</v>
      </c>
      <c r="D56" s="248" t="n">
        <f aca="false">C56-P56</f>
        <v>0</v>
      </c>
      <c r="E56" s="269"/>
      <c r="F56" s="269"/>
      <c r="G56" s="269"/>
      <c r="H56" s="269" t="n">
        <v>63000</v>
      </c>
      <c r="I56" s="269"/>
      <c r="J56" s="269"/>
      <c r="K56" s="269"/>
      <c r="L56" s="269"/>
      <c r="M56" s="269"/>
      <c r="N56" s="270" t="n">
        <f aca="false">SUM(E56:M56)</f>
        <v>63000</v>
      </c>
      <c r="O56" s="269"/>
      <c r="P56" s="270" t="n">
        <f aca="false">N56+O56</f>
        <v>63000</v>
      </c>
      <c r="Q56" s="263" t="n">
        <f aca="false">IFERROR(O56/$P$75*100,0)</f>
        <v>0</v>
      </c>
      <c r="R56" s="264" t="n">
        <v>50</v>
      </c>
      <c r="S56" s="265" t="n">
        <f aca="false">C56=P56</f>
        <v>1</v>
      </c>
      <c r="T56" s="266"/>
      <c r="U56" s="13" t="e">
        <f aca="false">#REF!</f>
        <v>#REF!</v>
      </c>
      <c r="V56" s="13" t="e">
        <f aca="false">#REF!</f>
        <v>#REF!</v>
      </c>
    </row>
    <row r="57" customFormat="false" ht="62" hidden="false" customHeight="false" outlineLevel="0" collapsed="false">
      <c r="A57" s="259" t="str">
        <f aca="false">'Quadro Geral'!A58</f>
        <v>Comissão de Ensino e Formação Profissional (CEF)</v>
      </c>
      <c r="B57" s="259" t="str">
        <f aca="false">'Quadro Geral'!C58</f>
        <v>Ações prioritarias da Comissão de Ensino e Formação</v>
      </c>
      <c r="C57" s="260" t="n">
        <f aca="false">'Quadro Geral'!I58</f>
        <v>50000</v>
      </c>
      <c r="D57" s="248" t="n">
        <f aca="false">C57-P57</f>
        <v>0</v>
      </c>
      <c r="E57" s="269"/>
      <c r="F57" s="269"/>
      <c r="G57" s="269"/>
      <c r="H57" s="269" t="n">
        <v>50000</v>
      </c>
      <c r="I57" s="269"/>
      <c r="J57" s="269"/>
      <c r="K57" s="269"/>
      <c r="L57" s="269"/>
      <c r="M57" s="269"/>
      <c r="N57" s="270" t="n">
        <f aca="false">SUM(E57:M57)</f>
        <v>50000</v>
      </c>
      <c r="O57" s="269"/>
      <c r="P57" s="270" t="n">
        <f aca="false">N57+O57</f>
        <v>50000</v>
      </c>
      <c r="Q57" s="263" t="n">
        <f aca="false">IFERROR(O57/$P$75*100,0)</f>
        <v>0</v>
      </c>
      <c r="R57" s="264" t="n">
        <v>51</v>
      </c>
      <c r="S57" s="265" t="n">
        <f aca="false">C57=P57</f>
        <v>1</v>
      </c>
      <c r="T57" s="266"/>
      <c r="U57" s="13" t="e">
        <f aca="false">#REF!</f>
        <v>#REF!</v>
      </c>
      <c r="V57" s="13" t="e">
        <f aca="false">#REF!</f>
        <v>#REF!</v>
      </c>
    </row>
    <row r="58" customFormat="false" ht="46.5" hidden="false" customHeight="false" outlineLevel="0" collapsed="false">
      <c r="A58" s="259" t="str">
        <f aca="false">'Quadro Geral'!A59</f>
        <v>Comissão de Ética e Disciplina (CED)</v>
      </c>
      <c r="B58" s="259" t="str">
        <f aca="false">'Quadro Geral'!C59</f>
        <v>Ações prioritarias da Comissão de Ética e Disciplina</v>
      </c>
      <c r="C58" s="260" t="n">
        <f aca="false">'Quadro Geral'!I59</f>
        <v>50000</v>
      </c>
      <c r="D58" s="248" t="n">
        <f aca="false">C58-P58</f>
        <v>0</v>
      </c>
      <c r="E58" s="269"/>
      <c r="F58" s="269"/>
      <c r="G58" s="269"/>
      <c r="H58" s="269" t="n">
        <v>50000</v>
      </c>
      <c r="I58" s="269"/>
      <c r="J58" s="269"/>
      <c r="K58" s="269"/>
      <c r="L58" s="269"/>
      <c r="M58" s="269"/>
      <c r="N58" s="270" t="n">
        <f aca="false">SUM(E58:M58)</f>
        <v>50000</v>
      </c>
      <c r="O58" s="269"/>
      <c r="P58" s="270" t="n">
        <f aca="false">N58+O58</f>
        <v>50000</v>
      </c>
      <c r="Q58" s="263" t="n">
        <f aca="false">IFERROR(O58/$P$75*100,0)</f>
        <v>0</v>
      </c>
      <c r="R58" s="264" t="n">
        <v>52</v>
      </c>
      <c r="S58" s="265" t="n">
        <f aca="false">C58=P58</f>
        <v>1</v>
      </c>
      <c r="T58" s="266"/>
      <c r="U58" s="13" t="e">
        <f aca="false">#REF!</f>
        <v>#REF!</v>
      </c>
      <c r="V58" s="13" t="e">
        <f aca="false">#REF!</f>
        <v>#REF!</v>
      </c>
    </row>
    <row r="59" customFormat="false" ht="46.5" hidden="false" customHeight="false" outlineLevel="0" collapsed="false">
      <c r="A59" s="259" t="str">
        <f aca="false">'Quadro Geral'!A60</f>
        <v>Comissão de Exercício Profissional (CEP)</v>
      </c>
      <c r="B59" s="259" t="str">
        <f aca="false">'Quadro Geral'!C60</f>
        <v>Ações prioritarias da Comissão de Exercicio Profissional - CAU nas Universidades</v>
      </c>
      <c r="C59" s="260" t="n">
        <f aca="false">'Quadro Geral'!I60</f>
        <v>0</v>
      </c>
      <c r="D59" s="248" t="n">
        <f aca="false">C59-P59</f>
        <v>0</v>
      </c>
      <c r="E59" s="269"/>
      <c r="F59" s="269"/>
      <c r="G59" s="269"/>
      <c r="H59" s="269" t="n">
        <v>0</v>
      </c>
      <c r="I59" s="269"/>
      <c r="J59" s="269"/>
      <c r="K59" s="269"/>
      <c r="L59" s="269"/>
      <c r="M59" s="269"/>
      <c r="N59" s="270" t="n">
        <f aca="false">SUM(E59:M59)</f>
        <v>0</v>
      </c>
      <c r="O59" s="269"/>
      <c r="P59" s="270" t="n">
        <f aca="false">N59+O59</f>
        <v>0</v>
      </c>
      <c r="Q59" s="263" t="n">
        <f aca="false">IFERROR(O59/$P$75*100,0)</f>
        <v>0</v>
      </c>
      <c r="R59" s="264" t="n">
        <v>53</v>
      </c>
      <c r="S59" s="265" t="n">
        <f aca="false">C59=P59</f>
        <v>1</v>
      </c>
      <c r="T59" s="266"/>
      <c r="U59" s="13" t="e">
        <f aca="false">#REF!</f>
        <v>#REF!</v>
      </c>
      <c r="V59" s="13" t="e">
        <f aca="false">#REF!</f>
        <v>#REF!</v>
      </c>
    </row>
    <row r="60" customFormat="false" ht="46.5" hidden="false" customHeight="false" outlineLevel="0" collapsed="false">
      <c r="A60" s="259" t="str">
        <f aca="false">'Quadro Geral'!A61</f>
        <v>Comissão de Exercício Profissional (CEP)</v>
      </c>
      <c r="B60" s="259" t="str">
        <f aca="false">'Quadro Geral'!C61</f>
        <v>Ações Prioritárias da Comissão de Exercício Profissional - Atribuições Profissionais</v>
      </c>
      <c r="C60" s="260" t="n">
        <f aca="false">'Quadro Geral'!I61</f>
        <v>0</v>
      </c>
      <c r="D60" s="248" t="n">
        <f aca="false">C60-P60</f>
        <v>0</v>
      </c>
      <c r="E60" s="269"/>
      <c r="F60" s="269"/>
      <c r="G60" s="269"/>
      <c r="H60" s="269" t="n">
        <v>0</v>
      </c>
      <c r="I60" s="269" t="n">
        <v>0</v>
      </c>
      <c r="J60" s="269"/>
      <c r="K60" s="269"/>
      <c r="L60" s="269"/>
      <c r="M60" s="269"/>
      <c r="N60" s="270" t="n">
        <f aca="false">SUM(E60:M60)</f>
        <v>0</v>
      </c>
      <c r="O60" s="269"/>
      <c r="P60" s="270" t="n">
        <f aca="false">N60+O60</f>
        <v>0</v>
      </c>
      <c r="Q60" s="263" t="n">
        <f aca="false">IFERROR(O60/$P$75*100,0)</f>
        <v>0</v>
      </c>
      <c r="R60" s="264" t="n">
        <v>54</v>
      </c>
      <c r="S60" s="265" t="n">
        <f aca="false">C60=P60</f>
        <v>1</v>
      </c>
      <c r="T60" s="266"/>
      <c r="U60" s="13" t="e">
        <f aca="false">#REF!</f>
        <v>#REF!</v>
      </c>
      <c r="V60" s="13" t="e">
        <f aca="false">#REF!</f>
        <v>#REF!</v>
      </c>
    </row>
    <row r="61" customFormat="false" ht="46.5" hidden="false" customHeight="false" outlineLevel="0" collapsed="false">
      <c r="A61" s="259" t="str">
        <f aca="false">'Quadro Geral'!A62</f>
        <v>Comissão de Exercício Profissional (CEP)</v>
      </c>
      <c r="B61" s="259" t="str">
        <f aca="false">'Quadro Geral'!C62</f>
        <v>Ações prioritarias da Comissão de Exercicio Profissional - Otimização da Fiscalização</v>
      </c>
      <c r="C61" s="260" t="n">
        <f aca="false">'Quadro Geral'!I62</f>
        <v>0</v>
      </c>
      <c r="D61" s="248" t="n">
        <f aca="false">C61-P61</f>
        <v>0</v>
      </c>
      <c r="E61" s="269"/>
      <c r="F61" s="269"/>
      <c r="G61" s="269"/>
      <c r="H61" s="269"/>
      <c r="I61" s="269"/>
      <c r="J61" s="269" t="n">
        <v>0</v>
      </c>
      <c r="K61" s="269"/>
      <c r="L61" s="269"/>
      <c r="M61" s="269"/>
      <c r="N61" s="270" t="n">
        <f aca="false">SUM(E61:M61)</f>
        <v>0</v>
      </c>
      <c r="O61" s="269"/>
      <c r="P61" s="270" t="n">
        <f aca="false">N61+O61</f>
        <v>0</v>
      </c>
      <c r="Q61" s="263" t="n">
        <f aca="false">IFERROR(O61/$P$75*100,0)</f>
        <v>0</v>
      </c>
      <c r="R61" s="264" t="n">
        <v>55</v>
      </c>
      <c r="S61" s="265" t="n">
        <f aca="false">C61=P61</f>
        <v>1</v>
      </c>
      <c r="T61" s="266"/>
      <c r="U61" s="13" t="e">
        <f aca="false">#REF!</f>
        <v>#REF!</v>
      </c>
      <c r="V61" s="13" t="e">
        <f aca="false">#REF!</f>
        <v>#REF!</v>
      </c>
    </row>
    <row r="62" customFormat="false" ht="46.5" hidden="false" customHeight="false" outlineLevel="0" collapsed="false">
      <c r="A62" s="259" t="str">
        <f aca="false">'Quadro Geral'!A63</f>
        <v>Comissão de Exercício Profissional (CEP)</v>
      </c>
      <c r="B62" s="259" t="str">
        <f aca="false">'Quadro Geral'!C63</f>
        <v>Ações prioritarias da Comissão de Exercicio Profissional</v>
      </c>
      <c r="C62" s="260" t="n">
        <f aca="false">'Quadro Geral'!I63</f>
        <v>50000</v>
      </c>
      <c r="D62" s="248" t="n">
        <f aca="false">C62-P62</f>
        <v>0</v>
      </c>
      <c r="E62" s="269"/>
      <c r="F62" s="269"/>
      <c r="G62" s="269"/>
      <c r="H62" s="269"/>
      <c r="I62" s="269"/>
      <c r="J62" s="269" t="n">
        <v>50000</v>
      </c>
      <c r="K62" s="269"/>
      <c r="L62" s="269"/>
      <c r="M62" s="269"/>
      <c r="N62" s="270" t="n">
        <f aca="false">SUM(E62:M62)</f>
        <v>50000</v>
      </c>
      <c r="O62" s="269"/>
      <c r="P62" s="270" t="n">
        <f aca="false">N62+O62</f>
        <v>50000</v>
      </c>
      <c r="Q62" s="263" t="n">
        <f aca="false">IFERROR(O62/$P$75*100,0)</f>
        <v>0</v>
      </c>
      <c r="R62" s="264" t="n">
        <v>56</v>
      </c>
      <c r="S62" s="265" t="n">
        <f aca="false">C62=P62</f>
        <v>1</v>
      </c>
      <c r="T62" s="266"/>
      <c r="U62" s="13" t="e">
        <f aca="false">#REF!</f>
        <v>#REF!</v>
      </c>
      <c r="V62" s="13" t="e">
        <f aca="false">#REF!</f>
        <v>#REF!</v>
      </c>
    </row>
    <row r="63" customFormat="false" ht="62" hidden="false" customHeight="false" outlineLevel="0" collapsed="false">
      <c r="A63" s="259" t="str">
        <f aca="false">'Quadro Geral'!A64</f>
        <v>Comissão de Organização e Administração (COA)</v>
      </c>
      <c r="B63" s="259" t="str">
        <f aca="false">'Quadro Geral'!C64</f>
        <v>Ações prioritarias da Comissão de Organização e Administração</v>
      </c>
      <c r="C63" s="260" t="n">
        <f aca="false">'Quadro Geral'!I64</f>
        <v>50000</v>
      </c>
      <c r="D63" s="248" t="n">
        <f aca="false">C63-P63</f>
        <v>0</v>
      </c>
      <c r="E63" s="269"/>
      <c r="F63" s="269"/>
      <c r="G63" s="269"/>
      <c r="H63" s="269" t="n">
        <v>20350</v>
      </c>
      <c r="I63" s="269"/>
      <c r="J63" s="269" t="n">
        <v>29650</v>
      </c>
      <c r="K63" s="269"/>
      <c r="L63" s="269"/>
      <c r="M63" s="269"/>
      <c r="N63" s="270" t="n">
        <f aca="false">SUM(E63:M63)</f>
        <v>50000</v>
      </c>
      <c r="O63" s="269"/>
      <c r="P63" s="270" t="n">
        <f aca="false">N63+O63</f>
        <v>50000</v>
      </c>
      <c r="Q63" s="263" t="n">
        <f aca="false">IFERROR(O63/$P$75*100,0)</f>
        <v>0</v>
      </c>
      <c r="R63" s="264" t="n">
        <v>57</v>
      </c>
      <c r="S63" s="265" t="n">
        <f aca="false">C63=P63</f>
        <v>1</v>
      </c>
      <c r="T63" s="266"/>
      <c r="U63" s="13" t="e">
        <f aca="false">#REF!</f>
        <v>#REF!</v>
      </c>
      <c r="V63" s="13" t="e">
        <f aca="false">#REF!</f>
        <v>#REF!</v>
      </c>
    </row>
    <row r="64" customFormat="false" ht="46.5" hidden="false" customHeight="false" outlineLevel="0" collapsed="false">
      <c r="A64" s="259" t="str">
        <f aca="false">'Quadro Geral'!A65</f>
        <v>Comissão de Planejamento e Finanças (CPFi)</v>
      </c>
      <c r="B64" s="259" t="str">
        <f aca="false">'Quadro Geral'!C65</f>
        <v>Ações prioritarias da Comissão de Planejamento e Finanças</v>
      </c>
      <c r="C64" s="260" t="n">
        <f aca="false">'Quadro Geral'!I65</f>
        <v>200000</v>
      </c>
      <c r="D64" s="248" t="n">
        <f aca="false">C64-P64</f>
        <v>0</v>
      </c>
      <c r="E64" s="269"/>
      <c r="F64" s="269"/>
      <c r="G64" s="269"/>
      <c r="H64" s="269"/>
      <c r="I64" s="269"/>
      <c r="J64" s="269" t="n">
        <v>200000</v>
      </c>
      <c r="K64" s="269"/>
      <c r="L64" s="269"/>
      <c r="M64" s="269"/>
      <c r="N64" s="270" t="n">
        <f aca="false">SUM(E64:M64)</f>
        <v>200000</v>
      </c>
      <c r="O64" s="269"/>
      <c r="P64" s="270" t="n">
        <f aca="false">N64+O64</f>
        <v>200000</v>
      </c>
      <c r="Q64" s="263" t="n">
        <f aca="false">IFERROR(O64/$P$75*100,0)</f>
        <v>0</v>
      </c>
      <c r="R64" s="264" t="n">
        <v>58</v>
      </c>
      <c r="S64" s="265" t="n">
        <f aca="false">C64=P64</f>
        <v>1</v>
      </c>
      <c r="T64" s="266"/>
      <c r="U64" s="13" t="e">
        <f aca="false">#REF!</f>
        <v>#REF!</v>
      </c>
      <c r="V64" s="13" t="e">
        <f aca="false">#REF!</f>
        <v>#REF!</v>
      </c>
    </row>
    <row r="65" customFormat="false" ht="31" hidden="false" customHeight="false" outlineLevel="0" collapsed="false">
      <c r="A65" s="259" t="str">
        <f aca="false">'Quadro Geral'!A66</f>
        <v>CPUA</v>
      </c>
      <c r="B65" s="259" t="str">
        <f aca="false">'Quadro Geral'!C66</f>
        <v>Ações Prioritárias da Comissão de Política Urbana e Ambiental de Arquitetura e Urbanismo Público</v>
      </c>
      <c r="C65" s="260" t="n">
        <f aca="false">'Quadro Geral'!I66</f>
        <v>50000</v>
      </c>
      <c r="D65" s="248" t="n">
        <f aca="false">C65-P65</f>
        <v>0</v>
      </c>
      <c r="E65" s="269"/>
      <c r="F65" s="269"/>
      <c r="G65" s="269"/>
      <c r="H65" s="269" t="n">
        <v>1000</v>
      </c>
      <c r="I65" s="269"/>
      <c r="J65" s="269" t="n">
        <v>49000</v>
      </c>
      <c r="K65" s="269"/>
      <c r="L65" s="269"/>
      <c r="M65" s="269"/>
      <c r="N65" s="270" t="n">
        <f aca="false">SUM(E65:M65)</f>
        <v>50000</v>
      </c>
      <c r="O65" s="269"/>
      <c r="P65" s="270" t="n">
        <f aca="false">N65+O65</f>
        <v>50000</v>
      </c>
      <c r="Q65" s="263" t="n">
        <f aca="false">IFERROR(O65/$P$75*100,0)</f>
        <v>0</v>
      </c>
      <c r="R65" s="264" t="n">
        <v>59</v>
      </c>
      <c r="S65" s="265" t="n">
        <f aca="false">C65=P65</f>
        <v>1</v>
      </c>
      <c r="T65" s="266"/>
      <c r="U65" s="13" t="e">
        <f aca="false">#REF!</f>
        <v>#REF!</v>
      </c>
      <c r="V65" s="13" t="e">
        <f aca="false">#REF!</f>
        <v>#REF!</v>
      </c>
    </row>
    <row r="66" customFormat="false" ht="26" hidden="false" customHeight="false" outlineLevel="0" collapsed="false">
      <c r="A66" s="259" t="str">
        <f aca="false">'Quadro Geral'!A67</f>
        <v>CPUA</v>
      </c>
      <c r="B66" s="259" t="str">
        <f aca="false">'Quadro Geral'!C67</f>
        <v>Plano Diretor</v>
      </c>
      <c r="C66" s="260" t="n">
        <f aca="false">'Quadro Geral'!I67</f>
        <v>0</v>
      </c>
      <c r="D66" s="248" t="n">
        <f aca="false">C66-P66</f>
        <v>0</v>
      </c>
      <c r="E66" s="269"/>
      <c r="F66" s="269"/>
      <c r="G66" s="269"/>
      <c r="H66" s="269" t="n">
        <v>0</v>
      </c>
      <c r="I66" s="269"/>
      <c r="J66" s="269"/>
      <c r="K66" s="269"/>
      <c r="L66" s="269"/>
      <c r="M66" s="269"/>
      <c r="N66" s="270" t="n">
        <f aca="false">SUM(E66:M66)</f>
        <v>0</v>
      </c>
      <c r="O66" s="269"/>
      <c r="P66" s="270" t="n">
        <f aca="false">N66+O66</f>
        <v>0</v>
      </c>
      <c r="Q66" s="263" t="n">
        <f aca="false">IFERROR(O66/$P$75*100,0)</f>
        <v>0</v>
      </c>
      <c r="R66" s="264" t="n">
        <v>60</v>
      </c>
      <c r="S66" s="265" t="n">
        <f aca="false">C66=P66</f>
        <v>1</v>
      </c>
      <c r="T66" s="266"/>
      <c r="U66" s="13" t="e">
        <f aca="false">#REF!</f>
        <v>#REF!</v>
      </c>
      <c r="V66" s="13" t="e">
        <f aca="false">#REF!</f>
        <v>#REF!</v>
      </c>
    </row>
    <row r="67" customFormat="false" ht="26" hidden="false" customHeight="false" outlineLevel="0" collapsed="false">
      <c r="A67" s="259" t="str">
        <f aca="false">'Quadro Geral'!A68</f>
        <v>CPUA</v>
      </c>
      <c r="B67" s="259" t="str">
        <f aca="false">'Quadro Geral'!C68</f>
        <v>Estruturação do ATHIS</v>
      </c>
      <c r="C67" s="260" t="n">
        <f aca="false">'Quadro Geral'!I68</f>
        <v>0</v>
      </c>
      <c r="D67" s="248" t="n">
        <f aca="false">C67-P67</f>
        <v>0</v>
      </c>
      <c r="E67" s="269"/>
      <c r="F67" s="269"/>
      <c r="G67" s="269"/>
      <c r="H67" s="269" t="n">
        <v>0</v>
      </c>
      <c r="I67" s="269"/>
      <c r="J67" s="269"/>
      <c r="K67" s="269"/>
      <c r="L67" s="269"/>
      <c r="M67" s="269"/>
      <c r="N67" s="270" t="n">
        <f aca="false">SUM(E67:M67)</f>
        <v>0</v>
      </c>
      <c r="O67" s="269"/>
      <c r="P67" s="270" t="n">
        <f aca="false">N67+O67</f>
        <v>0</v>
      </c>
      <c r="Q67" s="263" t="n">
        <f aca="false">IFERROR(O67/$P$75*100,0)</f>
        <v>0</v>
      </c>
      <c r="R67" s="264" t="n">
        <v>61</v>
      </c>
      <c r="S67" s="265" t="n">
        <f aca="false">C67=P67</f>
        <v>1</v>
      </c>
      <c r="T67" s="266"/>
      <c r="U67" s="13" t="e">
        <f aca="false">#REF!</f>
        <v>#REF!</v>
      </c>
      <c r="V67" s="13" t="e">
        <f aca="false">#REF!</f>
        <v>#REF!</v>
      </c>
    </row>
    <row r="68" customFormat="false" ht="62" hidden="false" customHeight="false" outlineLevel="0" collapsed="false">
      <c r="A68" s="259" t="str">
        <f aca="false">'Quadro Geral'!A69</f>
        <v>Gabinete da Presidência e Secretária da Presidência</v>
      </c>
      <c r="B68" s="259" t="str">
        <f aca="false">'Quadro Geral'!C69</f>
        <v>Comissão temporária de Equidade</v>
      </c>
      <c r="C68" s="260" t="n">
        <f aca="false">'Quadro Geral'!I69</f>
        <v>500</v>
      </c>
      <c r="D68" s="248" t="n">
        <f aca="false">C68-P68</f>
        <v>0</v>
      </c>
      <c r="E68" s="269"/>
      <c r="F68" s="269"/>
      <c r="G68" s="269"/>
      <c r="H68" s="269" t="n">
        <v>250</v>
      </c>
      <c r="I68" s="269" t="n">
        <v>250</v>
      </c>
      <c r="J68" s="269"/>
      <c r="K68" s="269"/>
      <c r="L68" s="269"/>
      <c r="M68" s="269"/>
      <c r="N68" s="270" t="n">
        <f aca="false">SUM(E68:M68)</f>
        <v>500</v>
      </c>
      <c r="O68" s="269"/>
      <c r="P68" s="270" t="n">
        <f aca="false">N68+O68</f>
        <v>500</v>
      </c>
      <c r="Q68" s="263" t="n">
        <f aca="false">IFERROR(O68/$P$75*100,0)</f>
        <v>0</v>
      </c>
      <c r="R68" s="264" t="n">
        <v>62</v>
      </c>
      <c r="S68" s="265" t="n">
        <f aca="false">C68=P68</f>
        <v>1</v>
      </c>
      <c r="T68" s="266"/>
      <c r="U68" s="13" t="e">
        <f aca="false">#REF!</f>
        <v>#REF!</v>
      </c>
      <c r="V68" s="13" t="e">
        <f aca="false">#REF!</f>
        <v>#REF!</v>
      </c>
    </row>
    <row r="69" customFormat="false" ht="62" hidden="false" customHeight="false" outlineLevel="0" collapsed="false">
      <c r="A69" s="259" t="str">
        <f aca="false">'Quadro Geral'!A71</f>
        <v>Gabinete da Presidência e Secretária da Presidência</v>
      </c>
      <c r="B69" s="259" t="str">
        <f aca="false">'Quadro Geral'!C71</f>
        <v>Comissão temporaria do interior</v>
      </c>
      <c r="C69" s="260" t="n">
        <f aca="false">'Quadro Geral'!I71</f>
        <v>500</v>
      </c>
      <c r="D69" s="248" t="n">
        <f aca="false">C69-P69</f>
        <v>0</v>
      </c>
      <c r="E69" s="269"/>
      <c r="F69" s="269"/>
      <c r="G69" s="269"/>
      <c r="H69" s="269" t="n">
        <v>250</v>
      </c>
      <c r="I69" s="269" t="n">
        <v>250</v>
      </c>
      <c r="J69" s="269"/>
      <c r="K69" s="269"/>
      <c r="L69" s="269"/>
      <c r="M69" s="269"/>
      <c r="N69" s="270" t="n">
        <f aca="false">SUM(E69:M69)</f>
        <v>500</v>
      </c>
      <c r="O69" s="269"/>
      <c r="P69" s="270" t="n">
        <f aca="false">N69+O69</f>
        <v>500</v>
      </c>
      <c r="Q69" s="263" t="n">
        <f aca="false">IFERROR(O69/$P$75*100,0)</f>
        <v>0</v>
      </c>
      <c r="R69" s="264" t="n">
        <v>63</v>
      </c>
      <c r="S69" s="265" t="n">
        <f aca="false">C69=P69</f>
        <v>1</v>
      </c>
      <c r="T69" s="266"/>
      <c r="U69" s="13" t="e">
        <f aca="false">#REF!</f>
        <v>#REF!</v>
      </c>
      <c r="V69" s="13" t="e">
        <f aca="false">#REF!</f>
        <v>#REF!</v>
      </c>
    </row>
    <row r="70" customFormat="false" ht="62" hidden="false" customHeight="false" outlineLevel="0" collapsed="false">
      <c r="A70" s="259" t="str">
        <f aca="false">'Quadro Geral'!A72</f>
        <v>Gabinete da Presidência e Secretária da Presidência</v>
      </c>
      <c r="B70" s="259" t="str">
        <f aca="false">'Quadro Geral'!C72</f>
        <v>Comissão temporaria parlamentar</v>
      </c>
      <c r="C70" s="260" t="n">
        <f aca="false">'Quadro Geral'!I72</f>
        <v>500</v>
      </c>
      <c r="D70" s="248" t="n">
        <f aca="false">C70-P70</f>
        <v>0</v>
      </c>
      <c r="E70" s="269"/>
      <c r="F70" s="269"/>
      <c r="G70" s="269"/>
      <c r="H70" s="269" t="n">
        <v>250</v>
      </c>
      <c r="I70" s="269" t="n">
        <v>250</v>
      </c>
      <c r="J70" s="269"/>
      <c r="K70" s="269"/>
      <c r="L70" s="269"/>
      <c r="M70" s="269"/>
      <c r="N70" s="270" t="n">
        <f aca="false">SUM(E70:M70)</f>
        <v>500</v>
      </c>
      <c r="O70" s="269"/>
      <c r="P70" s="270" t="n">
        <f aca="false">N70+O70</f>
        <v>500</v>
      </c>
      <c r="Q70" s="263" t="n">
        <f aca="false">IFERROR(O70/$P$75*100,0)</f>
        <v>0</v>
      </c>
      <c r="R70" s="264" t="n">
        <v>64</v>
      </c>
      <c r="S70" s="265" t="n">
        <f aca="false">C70=P70</f>
        <v>1</v>
      </c>
      <c r="T70" s="266"/>
      <c r="U70" s="13" t="e">
        <f aca="false">#REF!</f>
        <v>#REF!</v>
      </c>
      <c r="V70" s="13" t="e">
        <f aca="false">#REF!</f>
        <v>#REF!</v>
      </c>
    </row>
    <row r="71" customFormat="false" ht="62" hidden="false" customHeight="false" outlineLevel="0" collapsed="false">
      <c r="A71" s="259" t="str">
        <f aca="false">'Quadro Geral'!A73</f>
        <v>Gabinete da Presidência e Secretária da Presidência</v>
      </c>
      <c r="B71" s="259" t="str">
        <f aca="false">'Quadro Geral'!C73</f>
        <v>Comissão temporaria das sedes</v>
      </c>
      <c r="C71" s="260" t="n">
        <f aca="false">'Quadro Geral'!I73</f>
        <v>500</v>
      </c>
      <c r="D71" s="248" t="n">
        <f aca="false">C71-P71</f>
        <v>0</v>
      </c>
      <c r="E71" s="269"/>
      <c r="F71" s="269"/>
      <c r="G71" s="269"/>
      <c r="H71" s="269" t="n">
        <v>250</v>
      </c>
      <c r="I71" s="269" t="n">
        <v>250</v>
      </c>
      <c r="J71" s="269"/>
      <c r="K71" s="269"/>
      <c r="L71" s="269"/>
      <c r="M71" s="269"/>
      <c r="N71" s="270" t="n">
        <f aca="false">SUM(E71:M71)</f>
        <v>500</v>
      </c>
      <c r="O71" s="269"/>
      <c r="P71" s="270" t="n">
        <f aca="false">N71+O71</f>
        <v>500</v>
      </c>
      <c r="Q71" s="263" t="n">
        <f aca="false">IFERROR(O71/$P$75*100,0)</f>
        <v>0</v>
      </c>
      <c r="R71" s="264" t="n">
        <v>65</v>
      </c>
      <c r="S71" s="265" t="n">
        <f aca="false">C71=P71</f>
        <v>1</v>
      </c>
      <c r="T71" s="266"/>
      <c r="U71" s="13" t="e">
        <f aca="false">#REF!</f>
        <v>#REF!</v>
      </c>
      <c r="V71" s="13" t="e">
        <f aca="false">#REF!</f>
        <v>#REF!</v>
      </c>
    </row>
    <row r="72" customFormat="false" ht="46.5" hidden="false" customHeight="false" outlineLevel="0" collapsed="false">
      <c r="A72" s="259" t="str">
        <f aca="false">'Quadro Geral'!A74</f>
        <v>Gerência Técnica - Coordenação de Fiscalização</v>
      </c>
      <c r="B72" s="259" t="str">
        <f aca="false">'Quadro Geral'!C74</f>
        <v>Rotas</v>
      </c>
      <c r="C72" s="260" t="n">
        <f aca="false">'Quadro Geral'!I74</f>
        <v>400000</v>
      </c>
      <c r="D72" s="248" t="n">
        <f aca="false">C72-P72</f>
        <v>0</v>
      </c>
      <c r="E72" s="269"/>
      <c r="F72" s="269"/>
      <c r="G72" s="269" t="n">
        <v>41680</v>
      </c>
      <c r="H72" s="269" t="n">
        <v>58320</v>
      </c>
      <c r="I72" s="269"/>
      <c r="J72" s="269" t="n">
        <v>150000</v>
      </c>
      <c r="K72" s="269"/>
      <c r="L72" s="269"/>
      <c r="M72" s="269"/>
      <c r="N72" s="270" t="n">
        <f aca="false">SUM(E72:M72)</f>
        <v>250000</v>
      </c>
      <c r="O72" s="269" t="n">
        <v>150000</v>
      </c>
      <c r="P72" s="270" t="n">
        <f aca="false">N72+O72</f>
        <v>400000</v>
      </c>
      <c r="Q72" s="263" t="n">
        <f aca="false">IFERROR(O72/$P$75*100,0)</f>
        <v>0.818484170493493</v>
      </c>
      <c r="R72" s="264" t="n">
        <v>66</v>
      </c>
      <c r="S72" s="265" t="n">
        <f aca="false">C72=P72</f>
        <v>1</v>
      </c>
      <c r="T72" s="266"/>
      <c r="U72" s="13" t="e">
        <f aca="false">#REF!</f>
        <v>#REF!</v>
      </c>
      <c r="V72" s="13" t="e">
        <f aca="false">#REF!</f>
        <v>#REF!</v>
      </c>
    </row>
    <row r="73" customFormat="false" ht="46.5" hidden="false" customHeight="false" outlineLevel="0" collapsed="false">
      <c r="A73" s="259" t="str">
        <f aca="false">'Quadro Geral'!A75</f>
        <v>Gerência Técnica - Coordenação de Fiscalização</v>
      </c>
      <c r="B73" s="259" t="str">
        <f aca="false">'Quadro Geral'!C75</f>
        <v>SIGMA (Sistema Inteligente de Georreferenciamento e Monitoramento da Arquitetura)</v>
      </c>
      <c r="C73" s="260" t="n">
        <f aca="false">'Quadro Geral'!I75</f>
        <v>334703.42</v>
      </c>
      <c r="D73" s="248" t="n">
        <f aca="false">C73-P73</f>
        <v>0</v>
      </c>
      <c r="E73" s="269"/>
      <c r="F73" s="269"/>
      <c r="G73" s="269"/>
      <c r="H73" s="269" t="n">
        <v>4860</v>
      </c>
      <c r="I73" s="269" t="n">
        <v>5140</v>
      </c>
      <c r="J73" s="269" t="n">
        <v>324703.42</v>
      </c>
      <c r="K73" s="269"/>
      <c r="L73" s="269"/>
      <c r="M73" s="269"/>
      <c r="N73" s="270" t="n">
        <f aca="false">SUM(E73:M73)</f>
        <v>334703.42</v>
      </c>
      <c r="O73" s="269"/>
      <c r="P73" s="270" t="n">
        <f aca="false">N73+O73</f>
        <v>334703.42</v>
      </c>
      <c r="Q73" s="263" t="n">
        <f aca="false">IFERROR(O73/$P$75*100,0)</f>
        <v>0</v>
      </c>
      <c r="R73" s="264" t="n">
        <v>67</v>
      </c>
      <c r="S73" s="265" t="n">
        <f aca="false">C73=P73</f>
        <v>1</v>
      </c>
      <c r="T73" s="266"/>
      <c r="U73" s="13" t="e">
        <f aca="false">#REF!</f>
        <v>#REF!</v>
      </c>
      <c r="V73" s="13" t="e">
        <f aca="false">#REF!</f>
        <v>#REF!</v>
      </c>
    </row>
    <row r="74" customFormat="false" ht="41.25" hidden="false" customHeight="true" outlineLevel="0" collapsed="false">
      <c r="A74" s="259" t="str">
        <f aca="false">'Quadro Geral'!A76</f>
        <v>Gerência Administrativa</v>
      </c>
      <c r="B74" s="259" t="str">
        <f aca="false">'Quadro Geral'!C76</f>
        <v>Processo de Seletivo Simplificado</v>
      </c>
      <c r="C74" s="260" t="n">
        <f aca="false">'Quadro Geral'!I76</f>
        <v>50000</v>
      </c>
      <c r="D74" s="248" t="n">
        <f aca="false">C74-P74</f>
        <v>0</v>
      </c>
      <c r="E74" s="269"/>
      <c r="F74" s="269"/>
      <c r="G74" s="269"/>
      <c r="H74" s="269"/>
      <c r="I74" s="269"/>
      <c r="J74" s="269" t="n">
        <v>50000</v>
      </c>
      <c r="K74" s="269"/>
      <c r="L74" s="269"/>
      <c r="M74" s="269"/>
      <c r="N74" s="270" t="n">
        <f aca="false">SUM(E74:M74)</f>
        <v>50000</v>
      </c>
      <c r="O74" s="269"/>
      <c r="P74" s="270" t="n">
        <f aca="false">N74+O74</f>
        <v>50000</v>
      </c>
      <c r="Q74" s="263" t="n">
        <f aca="false">IFERROR(O74/$P$75*100,0)</f>
        <v>0</v>
      </c>
      <c r="R74" s="264" t="n">
        <v>68</v>
      </c>
      <c r="S74" s="265" t="n">
        <f aca="false">C74=P74</f>
        <v>1</v>
      </c>
      <c r="T74" s="266"/>
      <c r="U74" s="13" t="e">
        <f aca="false">#REF!</f>
        <v>#REF!</v>
      </c>
      <c r="V74" s="13" t="e">
        <f aca="false">#REF!</f>
        <v>#REF!</v>
      </c>
    </row>
    <row r="75" s="279" customFormat="true" ht="26" hidden="false" customHeight="true" outlineLevel="0" collapsed="false">
      <c r="A75" s="271" t="s">
        <v>515</v>
      </c>
      <c r="B75" s="271"/>
      <c r="C75" s="272" t="n">
        <f aca="false">SUM(C7:C74)</f>
        <v>18326560.9046</v>
      </c>
      <c r="D75" s="248"/>
      <c r="E75" s="273" t="n">
        <f aca="false">SUM(E7:E74)</f>
        <v>7857213.54</v>
      </c>
      <c r="F75" s="273" t="n">
        <f aca="false">SUM(F7:F74)</f>
        <v>166278</v>
      </c>
      <c r="G75" s="273" t="n">
        <f aca="false">SUM(G7:G74)</f>
        <v>120080</v>
      </c>
      <c r="H75" s="273" t="n">
        <f aca="false">SUM(H7:H74)</f>
        <v>457338</v>
      </c>
      <c r="I75" s="273" t="n">
        <f aca="false">SUM(I7:I74)</f>
        <v>321664</v>
      </c>
      <c r="J75" s="273" t="n">
        <f aca="false">SUM(J7:J74)</f>
        <v>3118979.35</v>
      </c>
      <c r="K75" s="273" t="n">
        <f aca="false">SUM(K7:K74)</f>
        <v>1729580.5946</v>
      </c>
      <c r="L75" s="273" t="n">
        <f aca="false">SUM(L7:L74)</f>
        <v>0</v>
      </c>
      <c r="M75" s="273" t="n">
        <f aca="false">SUM(M7:M74)</f>
        <v>460427.42</v>
      </c>
      <c r="N75" s="273" t="n">
        <f aca="false">SUM(N7:N74)</f>
        <v>14231560.9046</v>
      </c>
      <c r="O75" s="273" t="n">
        <f aca="false">SUM(O7:O74)</f>
        <v>4095000</v>
      </c>
      <c r="P75" s="273" t="n">
        <f aca="false">SUM(P7:P74)</f>
        <v>18326560.9046</v>
      </c>
      <c r="Q75" s="274" t="n">
        <f aca="false">SUM(Q7:Q74)</f>
        <v>22.3446178544723</v>
      </c>
      <c r="R75" s="275" t="n">
        <f aca="false">SUM(R7:R74)</f>
        <v>2346</v>
      </c>
      <c r="S75" s="276" t="n">
        <f aca="false">C75=P75</f>
        <v>1</v>
      </c>
      <c r="T75" s="277"/>
      <c r="U75" s="278"/>
    </row>
    <row r="76" s="279" customFormat="true" ht="26" hidden="false" customHeight="true" outlineLevel="0" collapsed="false">
      <c r="A76" s="271" t="s">
        <v>507</v>
      </c>
      <c r="B76" s="271"/>
      <c r="C76" s="271"/>
      <c r="D76" s="248"/>
      <c r="E76" s="280" t="n">
        <f aca="false">IFERROR(E75/$P75*100,0)</f>
        <v>42.8733660445143</v>
      </c>
      <c r="F76" s="280" t="n">
        <f aca="false">IFERROR(F75/$P75*100,0)</f>
        <v>0.907306072675446</v>
      </c>
      <c r="G76" s="280" t="n">
        <f aca="false">IFERROR(G75/$P75*100,0)</f>
        <v>0.655223861285724</v>
      </c>
      <c r="H76" s="280" t="n">
        <f aca="false">IFERROR(H75/$P75*100,0)</f>
        <v>2.49549275710102</v>
      </c>
      <c r="I76" s="280" t="n">
        <f aca="false">IFERROR(I75/$P75*100,0)</f>
        <v>1.75517928145079</v>
      </c>
      <c r="J76" s="280" t="n">
        <f aca="false">IFERROR(J75/$P75*100,0)</f>
        <v>17.0189015071405</v>
      </c>
      <c r="K76" s="280" t="n">
        <f aca="false">IFERROR(K75/$P75*100,0)</f>
        <v>9.43756225515215</v>
      </c>
      <c r="L76" s="280" t="n">
        <f aca="false">IFERROR(L75/$P75*100,0)</f>
        <v>0</v>
      </c>
      <c r="M76" s="280" t="n">
        <f aca="false">IFERROR(M75/$P75*100,0)</f>
        <v>2.51235036620773</v>
      </c>
      <c r="N76" s="280" t="n">
        <f aca="false">IFERROR(N75/$P75*100,0)</f>
        <v>77.6553821455277</v>
      </c>
      <c r="O76" s="280" t="n">
        <f aca="false">IFERROR(O75/$P75*100,0)</f>
        <v>22.3446178544723</v>
      </c>
      <c r="P76" s="280" t="n">
        <f aca="false">IFERROR(P75/$P75*100,0)</f>
        <v>100</v>
      </c>
      <c r="Q76" s="274"/>
      <c r="R76" s="275"/>
      <c r="S76" s="278"/>
      <c r="T76" s="277"/>
      <c r="U76" s="278"/>
    </row>
    <row r="77" s="287" customFormat="true" ht="25" hidden="false" customHeight="false" outlineLevel="0" collapsed="false">
      <c r="A77" s="281"/>
      <c r="B77" s="282"/>
      <c r="C77" s="283" t="n">
        <f aca="false">C75='Anexo 1. Fontes e Aplicações'!D34</f>
        <v>1</v>
      </c>
      <c r="D77" s="248"/>
      <c r="E77" s="283" t="n">
        <f aca="false">E75='Anexo 2. Limites Estratégicos'!M5</f>
        <v>1</v>
      </c>
      <c r="F77" s="281"/>
      <c r="G77" s="282"/>
      <c r="H77" s="282"/>
      <c r="I77" s="282"/>
      <c r="J77" s="282"/>
      <c r="K77" s="282"/>
      <c r="L77" s="282"/>
      <c r="M77" s="282"/>
      <c r="N77" s="282"/>
      <c r="O77" s="284" t="n">
        <f aca="false">O75='Anexo 1. Fontes e Aplicações'!C46</f>
        <v>1</v>
      </c>
      <c r="P77" s="285" t="n">
        <f aca="false">C75=P75</f>
        <v>1</v>
      </c>
      <c r="Q77" s="282"/>
      <c r="R77" s="286"/>
      <c r="S77" s="281"/>
      <c r="T77" s="266"/>
      <c r="U77" s="281"/>
    </row>
    <row r="78" s="287" customFormat="true" ht="25" hidden="false" customHeight="false" outlineLevel="0" collapsed="false">
      <c r="A78" s="288" t="s">
        <v>516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1"/>
      <c r="T78" s="266"/>
      <c r="U78" s="281"/>
    </row>
    <row r="79" s="287" customFormat="true" ht="321.75" hidden="false" customHeight="true" outlineLevel="0" collapsed="false">
      <c r="A79" s="289" t="s">
        <v>517</v>
      </c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1"/>
      <c r="T79" s="281"/>
      <c r="U79" s="281"/>
    </row>
    <row r="80" customFormat="false" ht="26" hidden="false" customHeight="false" outlineLevel="0" collapsed="false"/>
    <row r="81" customFormat="false" ht="26" hidden="false" customHeight="false" outlineLevel="0" collapsed="false"/>
    <row r="82" customFormat="false" ht="26" hidden="false" customHeight="false" outlineLevel="0" collapsed="false"/>
    <row r="83" customFormat="false" ht="26" hidden="false" customHeight="false" outlineLevel="0" collapsed="false"/>
    <row r="84" customFormat="false" ht="26" hidden="false" customHeight="false" outlineLevel="0" collapsed="false"/>
    <row r="85" customFormat="false" ht="26" hidden="false" customHeight="false" outlineLevel="0" collapsed="false"/>
    <row r="86" customFormat="false" ht="26" hidden="false" customHeight="false" outlineLevel="0" collapsed="false"/>
  </sheetData>
  <mergeCells count="23">
    <mergeCell ref="A2:R2"/>
    <mergeCell ref="A3:R3"/>
    <mergeCell ref="A5:A6"/>
    <mergeCell ref="B5:B6"/>
    <mergeCell ref="C5:C6"/>
    <mergeCell ref="E5:F5"/>
    <mergeCell ref="G5:G6"/>
    <mergeCell ref="H5:J5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75:B75"/>
    <mergeCell ref="Q75:Q76"/>
    <mergeCell ref="R75:R76"/>
    <mergeCell ref="A76:C76"/>
    <mergeCell ref="A78:R78"/>
    <mergeCell ref="A79:R79"/>
  </mergeCells>
  <conditionalFormatting sqref="S7:S75">
    <cfRule type="cellIs" priority="2" operator="equal" aboveAverage="0" equalAverage="0" bottom="0" percent="0" rank="0" text="" dxfId="9">
      <formula>1</formula>
    </cfRule>
  </conditionalFormatting>
  <conditionalFormatting sqref="C77">
    <cfRule type="cellIs" priority="3" operator="equal" aboveAverage="0" equalAverage="0" bottom="0" percent="0" rank="0" text="" dxfId="10">
      <formula>1</formula>
    </cfRule>
  </conditionalFormatting>
  <conditionalFormatting sqref="E77">
    <cfRule type="cellIs" priority="4" operator="equal" aboveAverage="0" equalAverage="0" bottom="0" percent="0" rank="0" text="" dxfId="11">
      <formula>1</formula>
    </cfRule>
  </conditionalFormatting>
  <printOptions headings="false" gridLines="false" gridLinesSet="true" horizontalCentered="true" verticalCentered="false"/>
  <pageMargins left="0" right="0" top="0" bottom="0" header="0.511805555555555" footer="0.511805555555555"/>
  <pageSetup paperSize="9" scale="4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030A0"/>
    <pageSetUpPr fitToPage="false"/>
  </sheetPr>
  <dimension ref="A1:G34"/>
  <sheetViews>
    <sheetView showFormulas="false" showGridLines="true" showRowColHeaders="true" showZeros="true" rightToLeft="false" tabSelected="false" showOutlineSymbols="true" defaultGridColor="true" view="normal" topLeftCell="C19" colorId="64" zoomScale="150" zoomScaleNormal="150" zoomScalePageLayoutView="100" workbookViewId="0">
      <selection pane="topLeft" activeCell="G29" activeCellId="0" sqref="G29"/>
    </sheetView>
  </sheetViews>
  <sheetFormatPr defaultColWidth="8.6875" defaultRowHeight="15.5" zeroHeight="false" outlineLevelRow="0" outlineLevelCol="0"/>
  <cols>
    <col collapsed="false" customWidth="true" hidden="false" outlineLevel="0" max="1" min="1" style="290" width="48.72"/>
    <col collapsed="false" customWidth="true" hidden="false" outlineLevel="0" max="2" min="2" style="290" width="42.54"/>
    <col collapsed="false" customWidth="true" hidden="false" outlineLevel="0" max="3" min="3" style="290" width="46.27"/>
    <col collapsed="false" customWidth="true" hidden="false" outlineLevel="0" max="4" min="4" style="290" width="127.82"/>
    <col collapsed="false" customWidth="true" hidden="false" outlineLevel="0" max="8" min="5" style="290" width="9.18"/>
    <col collapsed="false" customWidth="true" hidden="false" outlineLevel="0" max="9" min="9" style="290" width="13.55"/>
    <col collapsed="false" customWidth="true" hidden="false" outlineLevel="0" max="49" min="10" style="290" width="9.18"/>
  </cols>
  <sheetData>
    <row r="1" customFormat="false" ht="15.5" hidden="false" customHeight="false" outlineLevel="0" collapsed="false">
      <c r="A1" s="290" t="s">
        <v>518</v>
      </c>
      <c r="B1" s="291" t="s">
        <v>509</v>
      </c>
      <c r="C1" s="291" t="s">
        <v>519</v>
      </c>
      <c r="D1" s="290" t="s">
        <v>134</v>
      </c>
      <c r="E1" s="290" t="s">
        <v>303</v>
      </c>
      <c r="G1" s="290" t="s">
        <v>520</v>
      </c>
    </row>
    <row r="2" customFormat="false" ht="15.5" hidden="false" customHeight="false" outlineLevel="0" collapsed="false">
      <c r="A2" s="290" t="s">
        <v>521</v>
      </c>
      <c r="B2" s="291" t="s">
        <v>510</v>
      </c>
      <c r="C2" s="291" t="s">
        <v>522</v>
      </c>
      <c r="D2" s="290" t="s">
        <v>246</v>
      </c>
      <c r="E2" s="290" t="s">
        <v>181</v>
      </c>
      <c r="G2" s="290" t="s">
        <v>523</v>
      </c>
    </row>
    <row r="3" customFormat="false" ht="15.5" hidden="false" customHeight="false" outlineLevel="0" collapsed="false">
      <c r="A3" s="290" t="s">
        <v>524</v>
      </c>
      <c r="B3" s="292" t="s">
        <v>500</v>
      </c>
      <c r="C3" s="291" t="s">
        <v>525</v>
      </c>
      <c r="D3" s="290" t="s">
        <v>86</v>
      </c>
      <c r="E3" s="290" t="s">
        <v>328</v>
      </c>
      <c r="G3" s="290" t="s">
        <v>526</v>
      </c>
    </row>
    <row r="4" customFormat="false" ht="15.5" hidden="false" customHeight="false" outlineLevel="0" collapsed="false">
      <c r="A4" s="290" t="s">
        <v>527</v>
      </c>
      <c r="B4" s="293" t="s">
        <v>528</v>
      </c>
      <c r="C4" s="291" t="s">
        <v>529</v>
      </c>
      <c r="D4" s="290" t="s">
        <v>117</v>
      </c>
      <c r="F4" s="290" t="s">
        <v>530</v>
      </c>
      <c r="G4" s="290" t="s">
        <v>531</v>
      </c>
    </row>
    <row r="5" customFormat="false" ht="15.5" hidden="false" customHeight="false" outlineLevel="0" collapsed="false">
      <c r="A5" s="290" t="s">
        <v>532</v>
      </c>
      <c r="B5" s="293" t="s">
        <v>533</v>
      </c>
      <c r="C5" s="291" t="s">
        <v>534</v>
      </c>
      <c r="D5" s="290" t="s">
        <v>147</v>
      </c>
      <c r="F5" s="290" t="s">
        <v>535</v>
      </c>
      <c r="G5" s="290" t="s">
        <v>536</v>
      </c>
    </row>
    <row r="6" customFormat="false" ht="15.5" hidden="false" customHeight="false" outlineLevel="0" collapsed="false">
      <c r="A6" s="290" t="s">
        <v>537</v>
      </c>
      <c r="B6" s="293" t="s">
        <v>538</v>
      </c>
      <c r="C6" s="291" t="s">
        <v>539</v>
      </c>
      <c r="D6" s="290" t="s">
        <v>143</v>
      </c>
      <c r="F6" s="290" t="s">
        <v>540</v>
      </c>
      <c r="G6" s="290" t="s">
        <v>541</v>
      </c>
    </row>
    <row r="7" customFormat="false" ht="15.5" hidden="false" customHeight="false" outlineLevel="0" collapsed="false">
      <c r="A7" s="290" t="s">
        <v>542</v>
      </c>
      <c r="B7" s="293" t="s">
        <v>543</v>
      </c>
      <c r="C7" s="291" t="s">
        <v>544</v>
      </c>
      <c r="D7" s="290" t="s">
        <v>211</v>
      </c>
      <c r="G7" s="290" t="s">
        <v>545</v>
      </c>
    </row>
    <row r="8" customFormat="false" ht="15.5" hidden="false" customHeight="false" outlineLevel="0" collapsed="false">
      <c r="A8" s="290" t="s">
        <v>546</v>
      </c>
      <c r="B8" s="293" t="s">
        <v>502</v>
      </c>
      <c r="C8" s="291" t="s">
        <v>547</v>
      </c>
      <c r="D8" s="290" t="s">
        <v>65</v>
      </c>
      <c r="G8" s="290" t="s">
        <v>548</v>
      </c>
    </row>
    <row r="9" customFormat="false" ht="15.5" hidden="false" customHeight="false" outlineLevel="0" collapsed="false">
      <c r="A9" s="290" t="s">
        <v>549</v>
      </c>
      <c r="B9" s="293" t="s">
        <v>550</v>
      </c>
      <c r="C9" s="291" t="s">
        <v>551</v>
      </c>
      <c r="D9" s="290" t="s">
        <v>108</v>
      </c>
      <c r="G9" s="290" t="s">
        <v>552</v>
      </c>
    </row>
    <row r="10" customFormat="false" ht="15.5" hidden="false" customHeight="false" outlineLevel="0" collapsed="false">
      <c r="A10" s="290" t="s">
        <v>553</v>
      </c>
      <c r="B10" s="291" t="s">
        <v>504</v>
      </c>
      <c r="C10" s="291" t="s">
        <v>554</v>
      </c>
      <c r="D10" s="290" t="s">
        <v>343</v>
      </c>
      <c r="G10" s="290" t="s">
        <v>555</v>
      </c>
    </row>
    <row r="11" customFormat="false" ht="15.5" hidden="false" customHeight="false" outlineLevel="0" collapsed="false">
      <c r="A11" s="290" t="s">
        <v>556</v>
      </c>
      <c r="B11" s="291" t="s">
        <v>506</v>
      </c>
      <c r="C11" s="291" t="s">
        <v>557</v>
      </c>
      <c r="D11" s="290" t="s">
        <v>9</v>
      </c>
      <c r="G11" s="290" t="s">
        <v>558</v>
      </c>
    </row>
    <row r="12" customFormat="false" ht="15.5" hidden="false" customHeight="false" outlineLevel="0" collapsed="false">
      <c r="A12" s="290" t="s">
        <v>559</v>
      </c>
      <c r="C12" s="291" t="s">
        <v>560</v>
      </c>
      <c r="D12" s="290" t="s">
        <v>188</v>
      </c>
      <c r="G12" s="290" t="s">
        <v>561</v>
      </c>
    </row>
    <row r="13" customFormat="false" ht="15.5" hidden="false" customHeight="false" outlineLevel="0" collapsed="false">
      <c r="A13" s="290" t="s">
        <v>562</v>
      </c>
      <c r="B13" s="292"/>
      <c r="C13" s="291" t="s">
        <v>563</v>
      </c>
      <c r="D13" s="290" t="s">
        <v>98</v>
      </c>
      <c r="G13" s="290" t="s">
        <v>564</v>
      </c>
    </row>
    <row r="14" customFormat="false" ht="15.5" hidden="false" customHeight="false" outlineLevel="0" collapsed="false">
      <c r="A14" s="290" t="s">
        <v>565</v>
      </c>
      <c r="B14" s="292"/>
      <c r="C14" s="291" t="s">
        <v>566</v>
      </c>
      <c r="D14" s="290" t="s">
        <v>153</v>
      </c>
      <c r="G14" s="290" t="s">
        <v>567</v>
      </c>
    </row>
    <row r="15" customFormat="false" ht="15.5" hidden="false" customHeight="false" outlineLevel="0" collapsed="false">
      <c r="A15" s="290" t="s">
        <v>568</v>
      </c>
      <c r="B15" s="292"/>
      <c r="C15" s="291" t="s">
        <v>569</v>
      </c>
      <c r="D15" s="290" t="s">
        <v>21</v>
      </c>
      <c r="G15" s="290" t="s">
        <v>570</v>
      </c>
    </row>
    <row r="16" customFormat="false" ht="15.5" hidden="false" customHeight="false" outlineLevel="0" collapsed="false">
      <c r="A16" s="290" t="s">
        <v>571</v>
      </c>
      <c r="B16" s="292"/>
      <c r="C16" s="291" t="s">
        <v>572</v>
      </c>
      <c r="D16" s="290" t="s">
        <v>573</v>
      </c>
      <c r="G16" s="290" t="s">
        <v>328</v>
      </c>
    </row>
    <row r="17" customFormat="false" ht="15.5" hidden="false" customHeight="false" outlineLevel="0" collapsed="false">
      <c r="A17" s="290" t="s">
        <v>574</v>
      </c>
      <c r="B17" s="292"/>
      <c r="C17" s="291" t="s">
        <v>575</v>
      </c>
      <c r="G17" s="290" t="s">
        <v>576</v>
      </c>
    </row>
    <row r="18" customFormat="false" ht="15.5" hidden="false" customHeight="false" outlineLevel="0" collapsed="false">
      <c r="B18" s="292"/>
      <c r="C18" s="291" t="s">
        <v>577</v>
      </c>
      <c r="G18" s="290" t="s">
        <v>7</v>
      </c>
    </row>
    <row r="19" customFormat="false" ht="15.5" hidden="false" customHeight="false" outlineLevel="0" collapsed="false">
      <c r="C19" s="291" t="s">
        <v>578</v>
      </c>
      <c r="G19" s="290" t="s">
        <v>579</v>
      </c>
    </row>
    <row r="20" customFormat="false" ht="15.5" hidden="false" customHeight="false" outlineLevel="0" collapsed="false">
      <c r="C20" s="291" t="s">
        <v>580</v>
      </c>
      <c r="G20" s="290" t="s">
        <v>581</v>
      </c>
    </row>
    <row r="21" customFormat="false" ht="15.5" hidden="false" customHeight="false" outlineLevel="0" collapsed="false">
      <c r="C21" s="291" t="s">
        <v>582</v>
      </c>
      <c r="G21" s="290" t="s">
        <v>583</v>
      </c>
    </row>
    <row r="22" customFormat="false" ht="15.5" hidden="false" customHeight="false" outlineLevel="0" collapsed="false">
      <c r="G22" s="290" t="s">
        <v>584</v>
      </c>
    </row>
    <row r="23" customFormat="false" ht="15.5" hidden="false" customHeight="false" outlineLevel="0" collapsed="false">
      <c r="G23" s="290" t="s">
        <v>585</v>
      </c>
    </row>
    <row r="24" customFormat="false" ht="15.5" hidden="false" customHeight="false" outlineLevel="0" collapsed="false">
      <c r="G24" s="290" t="s">
        <v>586</v>
      </c>
    </row>
    <row r="25" customFormat="false" ht="15.5" hidden="false" customHeight="false" outlineLevel="0" collapsed="false">
      <c r="G25" s="290" t="s">
        <v>587</v>
      </c>
    </row>
    <row r="26" customFormat="false" ht="15.5" hidden="false" customHeight="false" outlineLevel="0" collapsed="false">
      <c r="G26" s="290" t="s">
        <v>588</v>
      </c>
    </row>
    <row r="27" customFormat="false" ht="15.5" hidden="false" customHeight="false" outlineLevel="0" collapsed="false">
      <c r="G27" s="290" t="s">
        <v>589</v>
      </c>
    </row>
    <row r="28" customFormat="false" ht="15.5" hidden="false" customHeight="false" outlineLevel="0" collapsed="false">
      <c r="G28" s="290" t="s">
        <v>590</v>
      </c>
    </row>
    <row r="34" customFormat="false" ht="15.5" hidden="false" customHeight="false" outlineLevel="0" collapsed="false">
      <c r="A34" s="290" t="s">
        <v>591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28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030A0"/>
    <pageSetUpPr fitToPage="false"/>
  </sheetPr>
  <dimension ref="A1:AR36"/>
  <sheetViews>
    <sheetView showFormulas="false" showGridLines="false" showRowColHeaders="true" showZeros="true" rightToLeft="false" tabSelected="false" showOutlineSymbols="true" defaultGridColor="true" view="normal" topLeftCell="A2" colorId="64" zoomScale="120" zoomScaleNormal="120" zoomScalePageLayoutView="100" workbookViewId="0">
      <pane xSplit="1" ySplit="2" topLeftCell="W4" activePane="bottomRight" state="frozen"/>
      <selection pane="topLeft" activeCell="A2" activeCellId="0" sqref="A2"/>
      <selection pane="topRight" activeCell="W2" activeCellId="0" sqref="W2"/>
      <selection pane="bottomLeft" activeCell="A4" activeCellId="0" sqref="A4"/>
      <selection pane="bottomRight" activeCell="J28" activeCellId="0" sqref="J28"/>
    </sheetView>
  </sheetViews>
  <sheetFormatPr defaultColWidth="9.19140625" defaultRowHeight="15.5" zeroHeight="true" outlineLevelRow="0" outlineLevelCol="1"/>
  <cols>
    <col collapsed="false" customWidth="true" hidden="true" outlineLevel="1" max="1" min="1" style="294" width="13.28"/>
    <col collapsed="false" customWidth="true" hidden="true" outlineLevel="1" max="2" min="2" style="295" width="15.45"/>
    <col collapsed="false" customWidth="true" hidden="true" outlineLevel="1" max="9" min="3" style="295" width="15.54"/>
    <col collapsed="false" customWidth="true" hidden="true" outlineLevel="1" max="10" min="10" style="296" width="16.18"/>
    <col collapsed="false" customWidth="true" hidden="true" outlineLevel="1" max="11" min="11" style="297" width="13.28"/>
    <col collapsed="false" customWidth="true" hidden="true" outlineLevel="1" max="14" min="12" style="296" width="15.45"/>
    <col collapsed="false" customWidth="true" hidden="true" outlineLevel="1" max="15" min="15" style="296" width="2.27"/>
    <col collapsed="false" customWidth="true" hidden="true" outlineLevel="1" max="17" min="16" style="296" width="16.45"/>
    <col collapsed="false" customWidth="true" hidden="true" outlineLevel="1" max="18" min="18" style="296" width="5.72"/>
    <col collapsed="false" customWidth="true" hidden="true" outlineLevel="1" max="19" min="19" style="296" width="15.45"/>
    <col collapsed="false" customWidth="true" hidden="true" outlineLevel="1" max="20" min="20" style="296" width="2.82"/>
    <col collapsed="false" customWidth="true" hidden="true" outlineLevel="1" max="21" min="21" style="296" width="16.18"/>
    <col collapsed="false" customWidth="true" hidden="true" outlineLevel="1" max="22" min="22" style="296" width="2.82"/>
    <col collapsed="false" customWidth="true" hidden="true" outlineLevel="1" max="23" min="23" style="298" width="16.45"/>
    <col collapsed="false" customWidth="true" hidden="true" outlineLevel="1" max="24" min="24" style="298" width="19.82"/>
    <col collapsed="false" customWidth="true" hidden="true" outlineLevel="1" max="25" min="25" style="299" width="16.45"/>
    <col collapsed="false" customWidth="true" hidden="true" outlineLevel="1" max="26" min="26" style="298" width="16.45"/>
    <col collapsed="false" customWidth="true" hidden="true" outlineLevel="1" max="27" min="27" style="299" width="16.45"/>
    <col collapsed="false" customWidth="true" hidden="true" outlineLevel="1" max="28" min="28" style="298" width="16.45"/>
    <col collapsed="false" customWidth="true" hidden="true" outlineLevel="1" max="29" min="29" style="0" width="2.82"/>
    <col collapsed="false" customWidth="true" hidden="true" outlineLevel="1" max="30" min="30" style="0" width="11.27"/>
    <col collapsed="false" customWidth="true" hidden="true" outlineLevel="1" max="31" min="31" style="0" width="3.27"/>
    <col collapsed="false" customWidth="true" hidden="true" outlineLevel="1" max="32" min="32" style="0" width="18.82"/>
    <col collapsed="false" customWidth="true" hidden="true" outlineLevel="1" max="33" min="33" style="0" width="4.72"/>
    <col collapsed="false" customWidth="true" hidden="true" outlineLevel="1" max="34" min="34" style="298" width="18.82"/>
    <col collapsed="false" customWidth="true" hidden="true" outlineLevel="1" max="35" min="35" style="0" width="9.82"/>
    <col collapsed="false" customWidth="true" hidden="false" outlineLevel="0" max="36" min="36" style="1" width="39.17"/>
    <col collapsed="false" customWidth="true" hidden="false" outlineLevel="0" max="37" min="37" style="1" width="15.72"/>
    <col collapsed="false" customWidth="true" hidden="false" outlineLevel="0" max="38" min="38" style="0" width="1"/>
    <col collapsed="false" customWidth="true" hidden="false" outlineLevel="0" max="39" min="39" style="1" width="39.01"/>
    <col collapsed="false" customWidth="true" hidden="false" outlineLevel="0" max="40" min="40" style="0" width="15.54"/>
    <col collapsed="false" customWidth="true" hidden="false" outlineLevel="0" max="44" min="44" style="0" width="12.45"/>
  </cols>
  <sheetData>
    <row r="1" customFormat="false" ht="16.5" hidden="true" customHeight="true" outlineLevel="0" collapsed="false">
      <c r="A1" s="300" t="s">
        <v>592</v>
      </c>
      <c r="B1" s="301" t="n">
        <v>0.8</v>
      </c>
      <c r="C1" s="301"/>
      <c r="D1" s="301"/>
      <c r="E1" s="301"/>
      <c r="F1" s="301"/>
      <c r="G1" s="301"/>
      <c r="H1" s="301"/>
      <c r="I1" s="301"/>
      <c r="J1" s="301"/>
      <c r="L1" s="302" t="s">
        <v>593</v>
      </c>
      <c r="M1" s="302"/>
      <c r="N1" s="302"/>
      <c r="P1" s="303" t="s">
        <v>594</v>
      </c>
      <c r="Q1" s="303"/>
      <c r="S1" s="303" t="s">
        <v>595</v>
      </c>
      <c r="U1" s="303" t="s">
        <v>596</v>
      </c>
      <c r="W1" s="301" t="s">
        <v>597</v>
      </c>
      <c r="X1" s="301"/>
      <c r="Y1" s="301"/>
      <c r="Z1" s="301"/>
      <c r="AA1" s="301"/>
      <c r="AB1" s="301"/>
    </row>
    <row r="2" s="309" customFormat="true" ht="16" hidden="false" customHeight="true" outlineLevel="0" collapsed="false">
      <c r="A2" s="300"/>
      <c r="B2" s="304" t="s">
        <v>598</v>
      </c>
      <c r="C2" s="304"/>
      <c r="D2" s="304"/>
      <c r="E2" s="304" t="s">
        <v>599</v>
      </c>
      <c r="F2" s="304"/>
      <c r="G2" s="304"/>
      <c r="H2" s="304" t="s">
        <v>600</v>
      </c>
      <c r="I2" s="304" t="s">
        <v>601</v>
      </c>
      <c r="J2" s="305" t="s">
        <v>602</v>
      </c>
      <c r="K2" s="306"/>
      <c r="L2" s="302"/>
      <c r="M2" s="302"/>
      <c r="N2" s="302"/>
      <c r="O2" s="307"/>
      <c r="P2" s="303"/>
      <c r="Q2" s="303"/>
      <c r="R2" s="307"/>
      <c r="S2" s="303"/>
      <c r="T2" s="307"/>
      <c r="U2" s="303"/>
      <c r="V2" s="307"/>
      <c r="W2" s="304" t="s">
        <v>598</v>
      </c>
      <c r="X2" s="304"/>
      <c r="Y2" s="304"/>
      <c r="Z2" s="304" t="s">
        <v>599</v>
      </c>
      <c r="AA2" s="304"/>
      <c r="AB2" s="308" t="s">
        <v>600</v>
      </c>
      <c r="AD2" s="310" t="s">
        <v>603</v>
      </c>
      <c r="AF2" s="310" t="s">
        <v>604</v>
      </c>
      <c r="AH2" s="311" t="s">
        <v>605</v>
      </c>
      <c r="AJ2" s="312" t="s">
        <v>606</v>
      </c>
      <c r="AK2" s="313" t="e">
        <f aca="false">#REF!</f>
        <v>#REF!</v>
      </c>
      <c r="AM2" s="314" t="s">
        <v>607</v>
      </c>
      <c r="AN2" s="314"/>
    </row>
    <row r="3" s="322" customFormat="true" ht="20.25" hidden="false" customHeight="true" outlineLevel="0" collapsed="false">
      <c r="A3" s="300"/>
      <c r="B3" s="305" t="s">
        <v>608</v>
      </c>
      <c r="C3" s="305" t="s">
        <v>609</v>
      </c>
      <c r="D3" s="305" t="s">
        <v>610</v>
      </c>
      <c r="E3" s="305" t="s">
        <v>608</v>
      </c>
      <c r="F3" s="305" t="s">
        <v>609</v>
      </c>
      <c r="G3" s="305" t="s">
        <v>610</v>
      </c>
      <c r="H3" s="304"/>
      <c r="I3" s="304"/>
      <c r="J3" s="304"/>
      <c r="K3" s="315"/>
      <c r="L3" s="305" t="s">
        <v>611</v>
      </c>
      <c r="M3" s="305" t="s">
        <v>612</v>
      </c>
      <c r="N3" s="305" t="s">
        <v>613</v>
      </c>
      <c r="O3" s="316"/>
      <c r="P3" s="317" t="s">
        <v>614</v>
      </c>
      <c r="Q3" s="317" t="s">
        <v>615</v>
      </c>
      <c r="R3" s="316"/>
      <c r="S3" s="318" t="s">
        <v>616</v>
      </c>
      <c r="T3" s="316"/>
      <c r="U3" s="318" t="s">
        <v>617</v>
      </c>
      <c r="V3" s="316"/>
      <c r="W3" s="319" t="s">
        <v>618</v>
      </c>
      <c r="X3" s="319" t="s">
        <v>619</v>
      </c>
      <c r="Y3" s="320" t="s">
        <v>620</v>
      </c>
      <c r="Z3" s="321" t="s">
        <v>621</v>
      </c>
      <c r="AA3" s="320" t="s">
        <v>620</v>
      </c>
      <c r="AB3" s="310" t="s">
        <v>621</v>
      </c>
      <c r="AD3" s="310"/>
      <c r="AF3" s="310"/>
      <c r="AH3" s="311"/>
      <c r="AJ3" s="323" t="s">
        <v>407</v>
      </c>
      <c r="AK3" s="324" t="e">
        <f aca="false">AK4+AK14+AK15+AK16</f>
        <v>#REF!</v>
      </c>
      <c r="AM3" s="323" t="s">
        <v>241</v>
      </c>
      <c r="AN3" s="325" t="e">
        <f aca="false">VLOOKUP($AK$2,'Diretrizes - Resumo'!$A$4:$Q$30,16,)</f>
        <v>#REF!</v>
      </c>
    </row>
    <row r="4" customFormat="false" ht="16" hidden="false" customHeight="false" outlineLevel="0" collapsed="false">
      <c r="A4" s="300" t="s">
        <v>520</v>
      </c>
      <c r="B4" s="295" t="n">
        <f aca="false">VLOOKUP($A$4:$A$30,'[5]Anexo V-Resumo Valor 80% '!$A$4:$Q$36,5,)</f>
        <v>173779.936</v>
      </c>
      <c r="C4" s="295" t="n">
        <f aca="false">VLOOKUP($A$4:$A$30,'[5]Anexo V-Resumo Valor 80% '!$A$4:$Q$36,6,)</f>
        <v>28680.296</v>
      </c>
      <c r="D4" s="295" t="n">
        <f aca="false">B4+C4</f>
        <v>202460.232</v>
      </c>
      <c r="E4" s="295" t="n">
        <f aca="false">VLOOKUP($A$4:$A$30,'[5]Anexo V-Resumo Valor 80% '!$A$4:$Q$36,11,)</f>
        <v>26559.704</v>
      </c>
      <c r="F4" s="295" t="n">
        <f aca="false">VLOOKUP($A$4:$A$30,'[5]Anexo V-Resumo Valor 80% '!$A$4:$Q$36,12,)</f>
        <v>7609.272</v>
      </c>
      <c r="G4" s="295" t="n">
        <f aca="false">E4+F4</f>
        <v>34168.976</v>
      </c>
      <c r="H4" s="295" t="n">
        <f aca="false">VLOOKUP($A$4:$A$30,'[5]Anexo V-Resumo Valor 80% '!$A$4:$Q$36,15,)</f>
        <v>235854.82</v>
      </c>
      <c r="I4" s="295" t="n">
        <f aca="false">VLOOKUP($A$4:$A$30,'[5]Anexo V-Resumo Valor 80% '!$A$4:$Q$36,17,)</f>
        <v>24707.91</v>
      </c>
      <c r="J4" s="326" t="n">
        <f aca="false">I4+H4+G4+D4</f>
        <v>497191.938</v>
      </c>
      <c r="K4" s="327" t="n">
        <f aca="false">J4-VLOOKUP($A$4:$A$30,'[5]Anexo V-Resumo Valor 80% '!$A$4:$S$36,19,)</f>
        <v>0</v>
      </c>
      <c r="L4" s="295" t="n">
        <f aca="false">VLOOKUP($A$4:$A$30,'[6]Anexo VI.I-Aporte do FA'!$A$4:$C$33,3,)</f>
        <v>9108.91204715324</v>
      </c>
      <c r="M4" s="295" t="n">
        <f aca="false">VLOOKUP($A$4:$A$30,'[6]Anexo VI-Repasse Fundo de Apoio'!$A$4:$G$16,7,)</f>
        <v>17240</v>
      </c>
      <c r="N4" s="295" t="n">
        <f aca="false">VLOOKUP($A$4:$A$30,'[6]Anexo VI-Repasse Fundo de Apoio'!$A$4:$H$16,8,)</f>
        <v>754537.396057433</v>
      </c>
      <c r="P4" s="295" t="n">
        <f aca="false">VLOOKUP($A$4:$A$30,'[6]Anexo VII- CSC - SERV.'!$A$4:$D$37,4,)</f>
        <v>39070.16</v>
      </c>
      <c r="Q4" s="295" t="n">
        <f aca="false">VLOOKUP($A$4:$A$30,'[6]Anexo VII- CSC - SERV.'!$A$4:$F$38,6,)-P4</f>
        <v>4657.0560574325</v>
      </c>
      <c r="R4" s="297" t="n">
        <f aca="false">VLOOKUP($A$4:$A$30,'[6]Anexo VII- CSC - SERV.'!$A$4:$F$38,6,)-(P4+Q4)</f>
        <v>0</v>
      </c>
      <c r="S4" s="295"/>
      <c r="U4" s="295" t="n">
        <f aca="false">VLOOKUP($A$4:$A$30,'[6] Anexo VIII-TARIFAS BANCÁRIAS'!$A$3:$D$35,4,)</f>
        <v>2525.397797676</v>
      </c>
      <c r="W4" s="328" t="n">
        <f aca="false">VLOOKUP($A$4:$A$30,'[6]Anexo III- Qde Prof_Empr_RRT'!$A$5:$X$37,3,)</f>
        <v>736</v>
      </c>
      <c r="X4" s="328" t="n">
        <f aca="false">VLOOKUP($A$4:$A$30,'[6]Anexo III- Qde Prof_Empr_RRT'!$A$5:$X$37,6,)</f>
        <v>725</v>
      </c>
      <c r="Y4" s="329" t="n">
        <f aca="false">VLOOKUP($A$4:$A$30,'[6]Anexo III- Qde Prof_Empr_RRT'!$A$5:$X$37,12,)</f>
        <v>36.1379310344828</v>
      </c>
      <c r="Z4" s="328" t="n">
        <f aca="false">VLOOKUP($A$4:$A$30,'[6]Anexo III- Qde Prof_Empr_RRT'!$A$5:$X$37,15,)</f>
        <v>146</v>
      </c>
      <c r="AA4" s="329" t="n">
        <f aca="false">VLOOKUP($A$4:$A$30,'[6]Anexo III- Qde Prof_Empr_RRT'!$A$5:$X$37,21,)</f>
        <v>52.054794520548</v>
      </c>
      <c r="AB4" s="328" t="n">
        <f aca="false">VLOOKUP($A$4:$A$30,'[6]Anexo III- Qde Prof_Empr_RRT'!$A$5:$X$37,24,)</f>
        <v>2724</v>
      </c>
      <c r="AD4" s="296" t="n">
        <v>0</v>
      </c>
      <c r="AF4" s="296" t="n">
        <f aca="false">VLOOKUP($A$4:$A$30,'[7]Demonstrativos 2020'!$A$6:$Y$32,25,)</f>
        <v>669680.75</v>
      </c>
      <c r="AG4" s="309"/>
      <c r="AH4" s="298" t="n">
        <v>906876</v>
      </c>
      <c r="AJ4" s="330" t="s">
        <v>408</v>
      </c>
      <c r="AK4" s="331" t="e">
        <f aca="false">AK5+AK12+AK13</f>
        <v>#REF!</v>
      </c>
      <c r="AM4" s="330" t="s">
        <v>260</v>
      </c>
      <c r="AN4" s="325" t="e">
        <f aca="false">VLOOKUP($AK$2,'Diretrizes - Resumo'!$A$4:$Q$30,17,)</f>
        <v>#REF!</v>
      </c>
      <c r="AR4" s="332"/>
    </row>
    <row r="5" customFormat="false" ht="16" hidden="false" customHeight="false" outlineLevel="0" collapsed="false">
      <c r="A5" s="300" t="s">
        <v>523</v>
      </c>
      <c r="B5" s="295" t="n">
        <f aca="false">VLOOKUP($A$4:$A$30,'[5]Anexo V-Resumo Valor 80% '!$A$4:$Q$36,5,)</f>
        <v>529644.176</v>
      </c>
      <c r="C5" s="295" t="n">
        <f aca="false">VLOOKUP($A$4:$A$30,'[5]Anexo V-Resumo Valor 80% '!$A$4:$Q$36,6,)</f>
        <v>119850.664</v>
      </c>
      <c r="D5" s="295" t="n">
        <f aca="false">B5+C5</f>
        <v>649494.84</v>
      </c>
      <c r="E5" s="295" t="n">
        <f aca="false">VLOOKUP($A$4:$A$30,'[5]Anexo V-Resumo Valor 80% '!$A$4:$Q$36,11,)</f>
        <v>28274.616</v>
      </c>
      <c r="F5" s="295" t="n">
        <f aca="false">VLOOKUP($A$4:$A$30,'[5]Anexo V-Resumo Valor 80% '!$A$4:$Q$36,12,)</f>
        <v>19201.424</v>
      </c>
      <c r="G5" s="295" t="n">
        <f aca="false">E5+F5</f>
        <v>47476.04</v>
      </c>
      <c r="H5" s="295" t="n">
        <f aca="false">VLOOKUP($A$4:$A$30,'[5]Anexo V-Resumo Valor 80% '!$A$4:$Q$36,15,)</f>
        <v>623231.63</v>
      </c>
      <c r="I5" s="295" t="n">
        <f aca="false">VLOOKUP($A$4:$A$30,'[5]Anexo V-Resumo Valor 80% '!$A$4:$Q$36,17,)</f>
        <v>85690.17</v>
      </c>
      <c r="J5" s="326" t="n">
        <f aca="false">I5+H5+G5+D5</f>
        <v>1405892.68</v>
      </c>
      <c r="K5" s="327" t="n">
        <f aca="false">J5-VLOOKUP($A$4:$A$30,'[5]Anexo V-Resumo Valor 80% '!$A$4:$S$36,19,)</f>
        <v>0</v>
      </c>
      <c r="L5" s="295" t="n">
        <f aca="false">VLOOKUP($A$4:$A$30,'[6]Anexo VI.I-Aporte do FA'!$A$4:$C$33,3,)</f>
        <v>25584.1282620419</v>
      </c>
      <c r="M5" s="295"/>
      <c r="N5" s="295"/>
      <c r="P5" s="295" t="n">
        <f aca="false">VLOOKUP($A$4:$A$30,'[6]Anexo VII- CSC - SERV.'!$A$4:$D$37,4,)</f>
        <v>109736.05</v>
      </c>
      <c r="Q5" s="295" t="n">
        <f aca="false">VLOOKUP($A$4:$A$30,'[6]Anexo VII- CSC - SERV.'!$A$4:$F$38,6,)-P5</f>
        <v>12970.234884837</v>
      </c>
      <c r="R5" s="297" t="n">
        <f aca="false">VLOOKUP($A$4:$A$30,'[6]Anexo VII- CSC - SERV.'!$A$4:$F$38,6,)-(P5+Q5)</f>
        <v>0</v>
      </c>
      <c r="S5" s="295"/>
      <c r="U5" s="295" t="n">
        <f aca="false">VLOOKUP($A$4:$A$30,'[6] Anexo VIII-TARIFAS BANCÁRIAS'!$A$3:$D$35,4,)</f>
        <v>5973.451230006</v>
      </c>
      <c r="W5" s="328" t="n">
        <f aca="false">VLOOKUP($A$4:$A$30,'[6]Anexo III- Qde Prof_Empr_RRT'!$A$5:$X$37,3,)</f>
        <v>2183</v>
      </c>
      <c r="X5" s="328" t="n">
        <f aca="false">VLOOKUP($A$4:$A$30,'[6]Anexo III- Qde Prof_Empr_RRT'!$A$5:$X$37,6,)</f>
        <v>2095</v>
      </c>
      <c r="Y5" s="329" t="n">
        <f aca="false">VLOOKUP($A$4:$A$30,'[6]Anexo III- Qde Prof_Empr_RRT'!$A$5:$X$37,12,)</f>
        <v>32.4105011933174</v>
      </c>
      <c r="Z5" s="328" t="n">
        <f aca="false">VLOOKUP($A$4:$A$30,'[6]Anexo III- Qde Prof_Empr_RRT'!$A$5:$X$37,15,)</f>
        <v>174</v>
      </c>
      <c r="AA5" s="329" t="n">
        <f aca="false">VLOOKUP($A$4:$A$30,'[6]Anexo III- Qde Prof_Empr_RRT'!$A$5:$X$37,21,)</f>
        <v>56.8965517241379</v>
      </c>
      <c r="AB5" s="328" t="n">
        <f aca="false">VLOOKUP($A$4:$A$30,'[6]Anexo III- Qde Prof_Empr_RRT'!$A$5:$X$37,24,)</f>
        <v>7198</v>
      </c>
      <c r="AD5" s="296" t="n">
        <v>0</v>
      </c>
      <c r="AF5" s="296" t="n">
        <f aca="false">VLOOKUP($A$4:$A$30,'[7]Demonstrativos 2020'!$A$6:$Y$32,25,)</f>
        <v>459563.48</v>
      </c>
      <c r="AG5" s="296"/>
      <c r="AH5" s="298" t="n">
        <v>3365351</v>
      </c>
      <c r="AJ5" s="330" t="s">
        <v>409</v>
      </c>
      <c r="AK5" s="331" t="e">
        <f aca="false">AK6+AK9</f>
        <v>#REF!</v>
      </c>
      <c r="AM5" s="330" t="s">
        <v>622</v>
      </c>
      <c r="AN5" s="325" t="e">
        <f aca="false">VLOOKUP($AK$2,'Diretrizes - Resumo'!$A$4:$S$30,19,)</f>
        <v>#REF!</v>
      </c>
      <c r="AR5" s="332"/>
    </row>
    <row r="6" customFormat="false" ht="16" hidden="false" customHeight="false" outlineLevel="0" collapsed="false">
      <c r="A6" s="300" t="s">
        <v>526</v>
      </c>
      <c r="B6" s="295" t="n">
        <f aca="false">VLOOKUP($A$4:$A$30,'[5]Anexo V-Resumo Valor 80% '!$A$4:$Q$36,5,)</f>
        <v>571370.08</v>
      </c>
      <c r="C6" s="295" t="n">
        <f aca="false">VLOOKUP($A$4:$A$30,'[5]Anexo V-Resumo Valor 80% '!$A$4:$Q$36,6,)</f>
        <v>121138.208</v>
      </c>
      <c r="D6" s="295" t="n">
        <f aca="false">B6+C6</f>
        <v>692508.288</v>
      </c>
      <c r="E6" s="295" t="n">
        <f aca="false">VLOOKUP($A$4:$A$30,'[5]Anexo V-Resumo Valor 80% '!$A$4:$Q$36,11,)</f>
        <v>46580.504</v>
      </c>
      <c r="F6" s="295" t="n">
        <f aca="false">VLOOKUP($A$4:$A$30,'[5]Anexo V-Resumo Valor 80% '!$A$4:$Q$36,12,)</f>
        <v>21504.728</v>
      </c>
      <c r="G6" s="295" t="n">
        <f aca="false">E6+F6</f>
        <v>68085.232</v>
      </c>
      <c r="H6" s="295" t="n">
        <f aca="false">VLOOKUP($A$4:$A$30,'[5]Anexo V-Resumo Valor 80% '!$A$4:$Q$36,15,)</f>
        <v>580459.14</v>
      </c>
      <c r="I6" s="295" t="n">
        <f aca="false">VLOOKUP($A$4:$A$30,'[5]Anexo V-Resumo Valor 80% '!$A$4:$Q$36,17,)</f>
        <v>67052.63</v>
      </c>
      <c r="J6" s="326" t="n">
        <f aca="false">I6+H6+G6+D6</f>
        <v>1408105.29</v>
      </c>
      <c r="K6" s="327" t="n">
        <f aca="false">J6-VLOOKUP($A$4:$A$30,'[5]Anexo V-Resumo Valor 80% '!$A$4:$S$36,19,)</f>
        <v>0</v>
      </c>
      <c r="L6" s="295" t="n">
        <f aca="false">VLOOKUP($A$4:$A$30,'[6]Anexo VI.I-Aporte do FA'!$A$4:$C$33,3,)</f>
        <v>25660.4978140481</v>
      </c>
      <c r="M6" s="295"/>
      <c r="N6" s="295"/>
      <c r="P6" s="295" t="n">
        <f aca="false">VLOOKUP($A$4:$A$30,'[6]Anexo VII- CSC - SERV.'!$A$4:$D$37,4,)</f>
        <v>110063.62</v>
      </c>
      <c r="Q6" s="295" t="n">
        <f aca="false">VLOOKUP($A$4:$A$30,'[6]Anexo VII- CSC - SERV.'!$A$4:$F$38,6,)-P6</f>
        <v>12732.700211733</v>
      </c>
      <c r="R6" s="297" t="n">
        <f aca="false">VLOOKUP($A$4:$A$30,'[6]Anexo VII- CSC - SERV.'!$A$4:$F$38,6,)-(P6+Q6)</f>
        <v>0</v>
      </c>
      <c r="S6" s="295"/>
      <c r="U6" s="295" t="n">
        <f aca="false">VLOOKUP($A$4:$A$30,'[6] Anexo VIII-TARIFAS BANCÁRIAS'!$A$3:$D$35,4,)</f>
        <v>5608.74187471</v>
      </c>
      <c r="W6" s="328" t="n">
        <f aca="false">VLOOKUP($A$4:$A$30,'[6]Anexo III- Qde Prof_Empr_RRT'!$A$5:$X$37,3,)</f>
        <v>2200</v>
      </c>
      <c r="X6" s="328" t="n">
        <f aca="false">VLOOKUP($A$4:$A$30,'[6]Anexo III- Qde Prof_Empr_RRT'!$A$5:$X$37,6,)</f>
        <v>2182</v>
      </c>
      <c r="Y6" s="329" t="n">
        <f aca="false">VLOOKUP($A$4:$A$30,'[6]Anexo III- Qde Prof_Empr_RRT'!$A$5:$X$37,12,)</f>
        <v>32.4472960586618</v>
      </c>
      <c r="Z6" s="328" t="n">
        <f aca="false">VLOOKUP($A$4:$A$30,'[6]Anexo III- Qde Prof_Empr_RRT'!$A$5:$X$37,15,)</f>
        <v>260</v>
      </c>
      <c r="AA6" s="329" t="n">
        <f aca="false">VLOOKUP($A$4:$A$30,'[6]Anexo III- Qde Prof_Empr_RRT'!$A$5:$X$37,21,)</f>
        <v>52.6923076923077</v>
      </c>
      <c r="AB6" s="328" t="n">
        <f aca="false">VLOOKUP($A$4:$A$30,'[6]Anexo III- Qde Prof_Empr_RRT'!$A$5:$X$37,24,)</f>
        <v>6704</v>
      </c>
      <c r="AD6" s="296" t="n">
        <v>0</v>
      </c>
      <c r="AF6" s="296" t="n">
        <f aca="false">VLOOKUP($A$4:$A$30,'[7]Demonstrativos 2020'!$A$6:$Y$32,25,)</f>
        <v>984059.28</v>
      </c>
      <c r="AG6" s="296"/>
      <c r="AH6" s="298" t="n">
        <v>4269995</v>
      </c>
      <c r="AJ6" s="330" t="s">
        <v>410</v>
      </c>
      <c r="AK6" s="333" t="e">
        <f aca="false">SUM(AK7:AK8)</f>
        <v>#REF!</v>
      </c>
      <c r="AM6" s="330" t="s">
        <v>623</v>
      </c>
      <c r="AN6" s="325" t="e">
        <f aca="false">VLOOKUP($AK$2,'Diretrizes - Resumo'!$A$4:$M$30,12,)</f>
        <v>#REF!</v>
      </c>
      <c r="AR6" s="332"/>
    </row>
    <row r="7" customFormat="false" ht="16" hidden="false" customHeight="false" outlineLevel="0" collapsed="false">
      <c r="A7" s="300" t="s">
        <v>531</v>
      </c>
      <c r="B7" s="295" t="n">
        <f aca="false">VLOOKUP($A$4:$A$30,'[5]Anexo V-Resumo Valor 80% '!$A$4:$Q$36,5,)</f>
        <v>199437.944</v>
      </c>
      <c r="C7" s="295" t="n">
        <f aca="false">VLOOKUP($A$4:$A$30,'[5]Anexo V-Resumo Valor 80% '!$A$4:$Q$36,6,)</f>
        <v>40871.728</v>
      </c>
      <c r="D7" s="295" t="n">
        <f aca="false">B7+C7</f>
        <v>240309.672</v>
      </c>
      <c r="E7" s="295" t="n">
        <f aca="false">VLOOKUP($A$4:$A$30,'[5]Anexo V-Resumo Valor 80% '!$A$4:$Q$36,11,)</f>
        <v>33169.32</v>
      </c>
      <c r="F7" s="295" t="n">
        <f aca="false">VLOOKUP($A$4:$A$30,'[5]Anexo V-Resumo Valor 80% '!$A$4:$Q$36,12,)</f>
        <v>22426.176</v>
      </c>
      <c r="G7" s="295" t="n">
        <f aca="false">E7+F7</f>
        <v>55595.496</v>
      </c>
      <c r="H7" s="295" t="n">
        <f aca="false">VLOOKUP($A$4:$A$30,'[5]Anexo V-Resumo Valor 80% '!$A$4:$Q$36,15,)</f>
        <v>297156.29</v>
      </c>
      <c r="I7" s="295" t="n">
        <f aca="false">VLOOKUP($A$4:$A$30,'[5]Anexo V-Resumo Valor 80% '!$A$4:$Q$36,17,)</f>
        <v>29653.07</v>
      </c>
      <c r="J7" s="326" t="n">
        <f aca="false">I7+H7+G7+D7</f>
        <v>622714.528</v>
      </c>
      <c r="K7" s="327" t="n">
        <f aca="false">J7-VLOOKUP($A$4:$A$30,'[5]Anexo V-Resumo Valor 80% '!$A$4:$S$36,19,)</f>
        <v>0</v>
      </c>
      <c r="L7" s="295" t="n">
        <f aca="false">VLOOKUP($A$4:$A$30,'[6]Anexo VI.I-Aporte do FA'!$A$4:$C$33,3,)</f>
        <v>11617.7917984203</v>
      </c>
      <c r="M7" s="295" t="n">
        <f aca="false">VLOOKUP($A$4:$A$30,'[6]Anexo VI-Repasse Fundo de Apoio'!$A$4:$G$16,7,)</f>
        <v>18040</v>
      </c>
      <c r="N7" s="295" t="n">
        <f aca="false">VLOOKUP($A$4:$A$30,'[6]Anexo VI-Repasse Fundo de Apoio'!$A$4:$H$16,8,)</f>
        <v>629725.45006169</v>
      </c>
      <c r="P7" s="295" t="n">
        <f aca="false">VLOOKUP($A$4:$A$30,'[6]Anexo VII- CSC - SERV.'!$A$4:$D$37,4,)</f>
        <v>49831.31</v>
      </c>
      <c r="Q7" s="295" t="n">
        <f aca="false">VLOOKUP($A$4:$A$30,'[6]Anexo VII- CSC - SERV.'!$A$4:$F$38,6,)-P7</f>
        <v>5762.70406169</v>
      </c>
      <c r="R7" s="297" t="n">
        <f aca="false">VLOOKUP($A$4:$A$30,'[6]Anexo VII- CSC - SERV.'!$A$4:$F$38,6,)-(P7+Q7)</f>
        <v>0</v>
      </c>
      <c r="S7" s="295"/>
      <c r="U7" s="295" t="n">
        <f aca="false">VLOOKUP($A$4:$A$30,'[6] Anexo VIII-TARIFAS BANCÁRIAS'!$A$3:$D$35,4,)</f>
        <v>2768.981711652</v>
      </c>
      <c r="W7" s="328" t="n">
        <f aca="false">VLOOKUP($A$4:$A$30,'[6]Anexo III- Qde Prof_Empr_RRT'!$A$5:$X$37,3,)</f>
        <v>859.6</v>
      </c>
      <c r="X7" s="328" t="n">
        <f aca="false">VLOOKUP($A$4:$A$30,'[6]Anexo III- Qde Prof_Empr_RRT'!$A$5:$X$37,6,)</f>
        <v>853.6</v>
      </c>
      <c r="Y7" s="329" t="n">
        <f aca="false">VLOOKUP($A$4:$A$30,'[6]Anexo III- Qde Prof_Empr_RRT'!$A$5:$X$37,12,)</f>
        <v>39.0815370196814</v>
      </c>
      <c r="Z7" s="328" t="n">
        <f aca="false">VLOOKUP($A$4:$A$30,'[6]Anexo III- Qde Prof_Empr_RRT'!$A$5:$X$37,15,)</f>
        <v>292</v>
      </c>
      <c r="AA7" s="329" t="n">
        <f aca="false">VLOOKUP($A$4:$A$30,'[6]Anexo III- Qde Prof_Empr_RRT'!$A$5:$X$37,21,)</f>
        <v>70.2054794520548</v>
      </c>
      <c r="AB7" s="328" t="n">
        <f aca="false">VLOOKUP($A$4:$A$30,'[6]Anexo III- Qde Prof_Empr_RRT'!$A$5:$X$37,24,)</f>
        <v>3432</v>
      </c>
      <c r="AD7" s="296" t="n">
        <v>0</v>
      </c>
      <c r="AF7" s="296" t="n">
        <f aca="false">VLOOKUP($A$4:$A$30,'[7]Demonstrativos 2020'!$A$6:$Y$32,25,)</f>
        <v>829755.32</v>
      </c>
      <c r="AG7" s="296"/>
      <c r="AH7" s="298" t="n">
        <v>877613</v>
      </c>
      <c r="AJ7" s="334" t="s">
        <v>411</v>
      </c>
      <c r="AK7" s="325" t="e">
        <f aca="false">VLOOKUP($AK$2,'Diretrizes - Resumo'!$A$4:$I$30,2,)</f>
        <v>#REF!</v>
      </c>
      <c r="AM7" s="330" t="s">
        <v>624</v>
      </c>
      <c r="AN7" s="325" t="e">
        <f aca="false">VLOOKUP($AK$2,'Diretrizes - Resumo'!$A$4:$M$30,13,)</f>
        <v>#REF!</v>
      </c>
      <c r="AR7" s="332"/>
    </row>
    <row r="8" customFormat="false" ht="16" hidden="false" customHeight="false" outlineLevel="0" collapsed="false">
      <c r="A8" s="300" t="s">
        <v>536</v>
      </c>
      <c r="B8" s="295" t="n">
        <f aca="false">VLOOKUP($A$4:$A$30,'[5]Anexo V-Resumo Valor 80% '!$A$4:$Q$36,5,)</f>
        <v>1635572.384</v>
      </c>
      <c r="C8" s="295" t="n">
        <f aca="false">VLOOKUP($A$4:$A$30,'[5]Anexo V-Resumo Valor 80% '!$A$4:$Q$36,6,)</f>
        <v>294898.4</v>
      </c>
      <c r="D8" s="295" t="n">
        <f aca="false">B8+C8</f>
        <v>1930470.784</v>
      </c>
      <c r="E8" s="295" t="n">
        <f aca="false">VLOOKUP($A$4:$A$30,'[5]Anexo V-Resumo Valor 80% '!$A$4:$Q$36,11,)</f>
        <v>190196.368</v>
      </c>
      <c r="F8" s="295" t="n">
        <f aca="false">VLOOKUP($A$4:$A$30,'[5]Anexo V-Resumo Valor 80% '!$A$4:$Q$36,12,)</f>
        <v>80935.024</v>
      </c>
      <c r="G8" s="295" t="n">
        <f aca="false">E8+F8</f>
        <v>271131.392</v>
      </c>
      <c r="H8" s="295" t="n">
        <f aca="false">VLOOKUP($A$4:$A$30,'[5]Anexo V-Resumo Valor 80% '!$A$4:$Q$36,15,)</f>
        <v>1581889.68</v>
      </c>
      <c r="I8" s="295" t="n">
        <f aca="false">VLOOKUP($A$4:$A$30,'[5]Anexo V-Resumo Valor 80% '!$A$4:$Q$36,17,)</f>
        <v>190281.52</v>
      </c>
      <c r="J8" s="326" t="n">
        <f aca="false">I8+H8+G8+D8</f>
        <v>3973773.376</v>
      </c>
      <c r="K8" s="327" t="n">
        <f aca="false">J8-VLOOKUP($A$4:$A$30,'[5]Anexo V-Resumo Valor 80% '!$A$4:$S$36,19,)</f>
        <v>0</v>
      </c>
      <c r="L8" s="295" t="n">
        <f aca="false">VLOOKUP($A$4:$A$30,'[6]Anexo VI.I-Aporte do FA'!$A$4:$C$33,3,)</f>
        <v>72931.0136990937</v>
      </c>
      <c r="M8" s="295"/>
      <c r="N8" s="295"/>
      <c r="P8" s="295" t="n">
        <f aca="false">VLOOKUP($A$4:$A$30,'[6]Anexo VII- CSC - SERV.'!$A$4:$D$37,4,)</f>
        <v>312817.45</v>
      </c>
      <c r="Q8" s="295" t="n">
        <f aca="false">VLOOKUP($A$4:$A$30,'[6]Anexo VII- CSC - SERV.'!$A$4:$F$38,6,)-P8</f>
        <v>37600.721619224</v>
      </c>
      <c r="R8" s="297" t="n">
        <f aca="false">VLOOKUP($A$4:$A$30,'[6]Anexo VII- CSC - SERV.'!$A$4:$F$38,6,)-(P8+Q8)</f>
        <v>0</v>
      </c>
      <c r="S8" s="295"/>
      <c r="U8" s="295" t="n">
        <f aca="false">VLOOKUP($A$4:$A$30,'[6] Anexo VIII-TARIFAS BANCÁRIAS'!$A$3:$D$35,4,)</f>
        <v>13509.034775548</v>
      </c>
      <c r="W8" s="328" t="n">
        <f aca="false">VLOOKUP($A$4:$A$30,'[6]Anexo III- Qde Prof_Empr_RRT'!$A$5:$X$37,3,)</f>
        <v>7366.3</v>
      </c>
      <c r="X8" s="328" t="n">
        <f aca="false">VLOOKUP($A$4:$A$30,'[6]Anexo III- Qde Prof_Empr_RRT'!$A$5:$X$37,6,)</f>
        <v>6563.3</v>
      </c>
      <c r="Y8" s="329" t="n">
        <f aca="false">VLOOKUP($A$4:$A$30,'[6]Anexo III- Qde Prof_Empr_RRT'!$A$5:$X$37,12,)</f>
        <v>30.8579525543553</v>
      </c>
      <c r="Z8" s="328" t="n">
        <f aca="false">VLOOKUP($A$4:$A$30,'[6]Anexo III- Qde Prof_Empr_RRT'!$A$5:$X$37,15,)</f>
        <v>1025</v>
      </c>
      <c r="AA8" s="329" t="n">
        <f aca="false">VLOOKUP($A$4:$A$30,'[6]Anexo III- Qde Prof_Empr_RRT'!$A$5:$X$37,21,)</f>
        <v>50.9268292682927</v>
      </c>
      <c r="AB8" s="328" t="n">
        <f aca="false">VLOOKUP($A$4:$A$30,'[6]Anexo III- Qde Prof_Empr_RRT'!$A$5:$X$37,24,)</f>
        <v>18270</v>
      </c>
      <c r="AD8" s="296" t="n">
        <v>0</v>
      </c>
      <c r="AF8" s="296" t="n">
        <f aca="false">VLOOKUP($A$4:$A$30,'[7]Demonstrativos 2020'!$A$6:$Y$32,25,)</f>
        <v>6314976.81</v>
      </c>
      <c r="AG8" s="296"/>
      <c r="AH8" s="298" t="n">
        <v>14985284</v>
      </c>
      <c r="AJ8" s="334" t="s">
        <v>412</v>
      </c>
      <c r="AK8" s="325" t="e">
        <f aca="false">VLOOKUP($AK$2,'Diretrizes - Resumo'!$A$4:$I$30,3,)</f>
        <v>#REF!</v>
      </c>
      <c r="AM8" s="335" t="s">
        <v>603</v>
      </c>
      <c r="AN8" s="336" t="e">
        <f aca="false">VLOOKUP($AK$2,$A$4:$AF$30,29,)</f>
        <v>#REF!</v>
      </c>
      <c r="AR8" s="332"/>
    </row>
    <row r="9" customFormat="false" ht="16" hidden="false" customHeight="false" outlineLevel="0" collapsed="false">
      <c r="A9" s="300" t="s">
        <v>541</v>
      </c>
      <c r="B9" s="295" t="n">
        <f aca="false">VLOOKUP($A$4:$A$30,'[5]Anexo V-Resumo Valor 80% '!$A$4:$Q$36,5,)</f>
        <v>1073890.6</v>
      </c>
      <c r="C9" s="295" t="n">
        <f aca="false">VLOOKUP($A$4:$A$30,'[5]Anexo V-Resumo Valor 80% '!$A$4:$Q$36,6,)</f>
        <v>168626.544</v>
      </c>
      <c r="D9" s="295" t="n">
        <f aca="false">B9+C9</f>
        <v>1242517.144</v>
      </c>
      <c r="E9" s="295" t="n">
        <f aca="false">VLOOKUP($A$4:$A$30,'[5]Anexo V-Resumo Valor 80% '!$A$4:$Q$36,11,)</f>
        <v>95297.712</v>
      </c>
      <c r="F9" s="295" t="n">
        <f aca="false">VLOOKUP($A$4:$A$30,'[5]Anexo V-Resumo Valor 80% '!$A$4:$Q$36,12,)</f>
        <v>29076.736</v>
      </c>
      <c r="G9" s="295" t="n">
        <f aca="false">E9+F9</f>
        <v>124374.448</v>
      </c>
      <c r="H9" s="295" t="n">
        <f aca="false">VLOOKUP($A$4:$A$30,'[5]Anexo V-Resumo Valor 80% '!$A$4:$Q$36,15,)</f>
        <v>1034072.71</v>
      </c>
      <c r="I9" s="295" t="n">
        <f aca="false">VLOOKUP($A$4:$A$30,'[5]Anexo V-Resumo Valor 80% '!$A$4:$Q$36,17,)</f>
        <v>107937.7</v>
      </c>
      <c r="J9" s="326" t="n">
        <f aca="false">I9+H9+G9+D9</f>
        <v>2508902.002</v>
      </c>
      <c r="K9" s="327" t="n">
        <f aca="false">J9-VLOOKUP($A$4:$A$30,'[5]Anexo V-Resumo Valor 80% '!$A$4:$S$36,19,)</f>
        <v>0</v>
      </c>
      <c r="L9" s="295" t="n">
        <f aca="false">VLOOKUP($A$4:$A$30,'[6]Anexo VI.I-Aporte do FA'!$A$4:$C$33,3,)</f>
        <v>45719.8912893234</v>
      </c>
      <c r="M9" s="295"/>
      <c r="N9" s="295"/>
      <c r="P9" s="295" t="n">
        <f aca="false">VLOOKUP($A$4:$A$30,'[6]Anexo VII- CSC - SERV.'!$A$4:$D$37,4,)</f>
        <v>196102.85</v>
      </c>
      <c r="Q9" s="295" t="n">
        <f aca="false">VLOOKUP($A$4:$A$30,'[6]Anexo VII- CSC - SERV.'!$A$4:$F$38,6,)-P9</f>
        <v>23608.631521291</v>
      </c>
      <c r="R9" s="297" t="n">
        <f aca="false">VLOOKUP($A$4:$A$30,'[6]Anexo VII- CSC - SERV.'!$A$4:$F$38,6,)-(P9+Q9)</f>
        <v>0</v>
      </c>
      <c r="S9" s="295" t="n">
        <f aca="false">VLOOKUP($A$4:$A$30,'[6]Anexo VII.III- SISCAF'!$A$10:$C$28,3,)</f>
        <v>17423.8141451639</v>
      </c>
      <c r="U9" s="295" t="n">
        <f aca="false">VLOOKUP($A$4:$A$30,'[6] Anexo VIII-TARIFAS BANCÁRIAS'!$A$3:$D$35,4,)</f>
        <v>8893.934959832</v>
      </c>
      <c r="W9" s="328" t="n">
        <f aca="false">VLOOKUP($A$4:$A$30,'[6]Anexo III- Qde Prof_Empr_RRT'!$A$5:$X$37,3,)</f>
        <v>4728</v>
      </c>
      <c r="X9" s="328" t="n">
        <f aca="false">VLOOKUP($A$4:$A$30,'[6]Anexo III- Qde Prof_Empr_RRT'!$A$5:$X$37,6,)</f>
        <v>4542</v>
      </c>
      <c r="Y9" s="329" t="n">
        <f aca="false">VLOOKUP($A$4:$A$30,'[6]Anexo III- Qde Prof_Empr_RRT'!$A$5:$X$37,12,)</f>
        <v>32.2985468956407</v>
      </c>
      <c r="Z9" s="328" t="n">
        <f aca="false">VLOOKUP($A$4:$A$30,'[6]Anexo III- Qde Prof_Empr_RRT'!$A$5:$X$37,15,)</f>
        <v>437</v>
      </c>
      <c r="AA9" s="329" t="n">
        <f aca="false">VLOOKUP($A$4:$A$30,'[6]Anexo III- Qde Prof_Empr_RRT'!$A$5:$X$37,21,)</f>
        <v>42.3340961098398</v>
      </c>
      <c r="AB9" s="328" t="n">
        <f aca="false">VLOOKUP($A$4:$A$30,'[6]Anexo III- Qde Prof_Empr_RRT'!$A$5:$X$37,24,)</f>
        <v>11943</v>
      </c>
      <c r="AD9" s="296" t="n">
        <v>0</v>
      </c>
      <c r="AF9" s="296" t="n">
        <f aca="false">VLOOKUP($A$4:$A$30,'[7]Demonstrativos 2020'!$A$6:$Y$32,25,)</f>
        <v>1187299.86</v>
      </c>
      <c r="AG9" s="296"/>
      <c r="AH9" s="298" t="n">
        <v>9240580</v>
      </c>
      <c r="AJ9" s="330" t="s">
        <v>413</v>
      </c>
      <c r="AK9" s="337" t="e">
        <f aca="false">SUM(AK10:AK11)</f>
        <v>#REF!</v>
      </c>
      <c r="AM9" s="330" t="s">
        <v>625</v>
      </c>
      <c r="AN9" s="325" t="e">
        <f aca="false">VLOOKUP($AK$2,$A$4:$AF$30,32,)</f>
        <v>#REF!</v>
      </c>
      <c r="AR9" s="332"/>
    </row>
    <row r="10" customFormat="false" ht="16" hidden="false" customHeight="false" outlineLevel="0" collapsed="false">
      <c r="A10" s="300" t="s">
        <v>545</v>
      </c>
      <c r="B10" s="295" t="n">
        <f aca="false">VLOOKUP($A$4:$A$30,'[5]Anexo V-Resumo Valor 80% '!$A$4:$Q$36,5,)</f>
        <v>1778840.456</v>
      </c>
      <c r="C10" s="295" t="n">
        <f aca="false">VLOOKUP($A$4:$A$30,'[5]Anexo V-Resumo Valor 80% '!$A$4:$Q$36,6,)</f>
        <v>272509.688</v>
      </c>
      <c r="D10" s="295" t="n">
        <f aca="false">B10+C10</f>
        <v>2051350.144</v>
      </c>
      <c r="E10" s="295" t="n">
        <f aca="false">VLOOKUP($A$4:$A$30,'[5]Anexo V-Resumo Valor 80% '!$A$4:$Q$36,11,)</f>
        <v>133096.544</v>
      </c>
      <c r="F10" s="295" t="n">
        <f aca="false">VLOOKUP($A$4:$A$30,'[5]Anexo V-Resumo Valor 80% '!$A$4:$Q$36,12,)</f>
        <v>53126.96</v>
      </c>
      <c r="G10" s="295" t="n">
        <f aca="false">E10+F10</f>
        <v>186223.504</v>
      </c>
      <c r="H10" s="295" t="n">
        <f aca="false">VLOOKUP($A$4:$A$30,'[5]Anexo V-Resumo Valor 80% '!$A$4:$Q$36,15,)</f>
        <v>1539550.1</v>
      </c>
      <c r="I10" s="295" t="n">
        <f aca="false">VLOOKUP($A$4:$A$30,'[5]Anexo V-Resumo Valor 80% '!$A$4:$Q$36,17,)</f>
        <v>216423.76</v>
      </c>
      <c r="J10" s="326" t="n">
        <f aca="false">I10+H10+G10+D10</f>
        <v>3993547.508</v>
      </c>
      <c r="K10" s="327" t="n">
        <f aca="false">J10-VLOOKUP($A$4:$A$30,'[5]Anexo V-Resumo Valor 80% '!$A$4:$S$36,19,)</f>
        <v>0</v>
      </c>
      <c r="L10" s="295" t="n">
        <f aca="false">VLOOKUP($A$4:$A$30,'[6]Anexo VI.I-Aporte do FA'!$A$4:$C$33,3,)</f>
        <v>72880.7020248641</v>
      </c>
      <c r="M10" s="295"/>
      <c r="N10" s="295"/>
      <c r="P10" s="295" t="n">
        <f aca="false">VLOOKUP($A$4:$A$30,'[6]Anexo VII- CSC - SERV.'!$A$4:$D$37,4,)</f>
        <v>312601.65</v>
      </c>
      <c r="Q10" s="295" t="n">
        <f aca="false">VLOOKUP($A$4:$A$30,'[6]Anexo VII- CSC - SERV.'!$A$4:$F$38,6,)-P10</f>
        <v>42200.896909131</v>
      </c>
      <c r="R10" s="297" t="n">
        <f aca="false">VLOOKUP($A$4:$A$30,'[6]Anexo VII- CSC - SERV.'!$A$4:$F$38,6,)-(P10+Q10)</f>
        <v>0</v>
      </c>
      <c r="S10" s="295"/>
      <c r="U10" s="295" t="n">
        <f aca="false">VLOOKUP($A$4:$A$30,'[6] Anexo VIII-TARIFAS BANCÁRIAS'!$A$3:$D$35,4,)</f>
        <v>14886.08871971</v>
      </c>
      <c r="W10" s="328" t="n">
        <f aca="false">VLOOKUP($A$4:$A$30,'[6]Anexo III- Qde Prof_Empr_RRT'!$A$5:$X$37,3,)</f>
        <v>6845.6</v>
      </c>
      <c r="X10" s="328" t="n">
        <f aca="false">VLOOKUP($A$4:$A$30,'[6]Anexo III- Qde Prof_Empr_RRT'!$A$5:$X$37,6,)</f>
        <v>6318.6</v>
      </c>
      <c r="Y10" s="329" t="n">
        <f aca="false">VLOOKUP($A$4:$A$30,'[6]Anexo III- Qde Prof_Empr_RRT'!$A$5:$X$37,12,)</f>
        <v>26.5818377488684</v>
      </c>
      <c r="Z10" s="328" t="n">
        <f aca="false">VLOOKUP($A$4:$A$30,'[6]Anexo III- Qde Prof_Empr_RRT'!$A$5:$X$37,15,)</f>
        <v>804</v>
      </c>
      <c r="AA10" s="329" t="n">
        <f aca="false">VLOOKUP($A$4:$A$30,'[6]Anexo III- Qde Prof_Empr_RRT'!$A$5:$X$37,21,)</f>
        <v>56.2189054726368</v>
      </c>
      <c r="AB10" s="328" t="n">
        <f aca="false">VLOOKUP($A$4:$A$30,'[6]Anexo III- Qde Prof_Empr_RRT'!$A$5:$X$37,24,)</f>
        <v>17781</v>
      </c>
      <c r="AD10" s="296" t="n">
        <v>0</v>
      </c>
      <c r="AF10" s="296" t="n">
        <f aca="false">VLOOKUP($A$4:$A$30,'[7]Demonstrativos 2020'!$A$6:$Y$32,25,)</f>
        <v>1020703.86</v>
      </c>
      <c r="AG10" s="296"/>
      <c r="AH10" s="298" t="n">
        <v>3094325</v>
      </c>
      <c r="AJ10" s="334" t="s">
        <v>414</v>
      </c>
      <c r="AK10" s="325" t="e">
        <f aca="false">VLOOKUP($AK$2,'Diretrizes - Resumo'!$A$4:$J$30,5,)</f>
        <v>#REF!</v>
      </c>
      <c r="AR10" s="332"/>
    </row>
    <row r="11" customFormat="false" ht="16" hidden="false" customHeight="false" outlineLevel="0" collapsed="false">
      <c r="A11" s="300" t="s">
        <v>548</v>
      </c>
      <c r="B11" s="295" t="n">
        <f aca="false">VLOOKUP($A$4:$A$30,'[5]Anexo V-Resumo Valor 80% '!$A$4:$Q$36,5,)</f>
        <v>1437738.376</v>
      </c>
      <c r="C11" s="295" t="n">
        <f aca="false">VLOOKUP($A$4:$A$30,'[5]Anexo V-Resumo Valor 80% '!$A$4:$Q$36,6,)</f>
        <v>82239.352</v>
      </c>
      <c r="D11" s="295" t="n">
        <f aca="false">B11+C11</f>
        <v>1519977.728</v>
      </c>
      <c r="E11" s="295" t="n">
        <f aca="false">VLOOKUP($A$4:$A$30,'[5]Anexo V-Resumo Valor 80% '!$A$4:$Q$36,11,)</f>
        <v>128752.432</v>
      </c>
      <c r="F11" s="295" t="n">
        <f aca="false">VLOOKUP($A$4:$A$30,'[5]Anexo V-Resumo Valor 80% '!$A$4:$Q$36,12,)</f>
        <v>14149.88</v>
      </c>
      <c r="G11" s="295" t="n">
        <f aca="false">E11+F11</f>
        <v>142902.312</v>
      </c>
      <c r="H11" s="295" t="n">
        <f aca="false">VLOOKUP($A$4:$A$30,'[5]Anexo V-Resumo Valor 80% '!$A$4:$Q$36,15,)</f>
        <v>1327246.14</v>
      </c>
      <c r="I11" s="295" t="n">
        <f aca="false">VLOOKUP($A$4:$A$30,'[5]Anexo V-Resumo Valor 80% '!$A$4:$Q$36,17,)</f>
        <v>149580.47</v>
      </c>
      <c r="J11" s="326" t="n">
        <f aca="false">I11+H11+G11+D11</f>
        <v>3139706.65</v>
      </c>
      <c r="K11" s="327" t="n">
        <f aca="false">J11-VLOOKUP($A$4:$A$30,'[5]Anexo V-Resumo Valor 80% '!$A$4:$S$36,19,)</f>
        <v>0</v>
      </c>
      <c r="L11" s="295" t="n">
        <f aca="false">VLOOKUP($A$4:$A$30,'[6]Anexo VI.I-Aporte do FA'!$A$4:$C$33,3,)</f>
        <v>57264.6548582999</v>
      </c>
      <c r="M11" s="295"/>
      <c r="N11" s="295"/>
      <c r="P11" s="295" t="n">
        <f aca="false">VLOOKUP($A$4:$A$30,'[6]Anexo VII- CSC - SERV.'!$A$4:$D$37,4,)</f>
        <v>245620.93</v>
      </c>
      <c r="Q11" s="295" t="n">
        <f aca="false">VLOOKUP($A$4:$A$30,'[6]Anexo VII- CSC - SERV.'!$A$4:$F$38,6,)-P11</f>
        <v>29557.581779247</v>
      </c>
      <c r="R11" s="297" t="n">
        <f aca="false">VLOOKUP($A$4:$A$30,'[6]Anexo VII- CSC - SERV.'!$A$4:$F$38,6,)-(P11+Q11)</f>
        <v>0</v>
      </c>
      <c r="S11" s="295"/>
      <c r="U11" s="295" t="n">
        <f aca="false">VLOOKUP($A$4:$A$30,'[6] Anexo VIII-TARIFAS BANCÁRIAS'!$A$3:$D$35,4,)</f>
        <v>11997.36972343</v>
      </c>
      <c r="W11" s="328" t="n">
        <f aca="false">VLOOKUP($A$4:$A$30,'[6]Anexo III- Qde Prof_Empr_RRT'!$A$5:$X$37,3,)</f>
        <v>4055</v>
      </c>
      <c r="X11" s="328" t="n">
        <f aca="false">VLOOKUP($A$4:$A$30,'[6]Anexo III- Qde Prof_Empr_RRT'!$A$5:$X$37,6,)</f>
        <v>3960</v>
      </c>
      <c r="Y11" s="329" t="n">
        <f aca="false">VLOOKUP($A$4:$A$30,'[6]Anexo III- Qde Prof_Empr_RRT'!$A$5:$X$37,12,)</f>
        <v>6.86868686868687</v>
      </c>
      <c r="Z11" s="328" t="n">
        <f aca="false">VLOOKUP($A$4:$A$30,'[6]Anexo III- Qde Prof_Empr_RRT'!$A$5:$X$37,15,)</f>
        <v>484</v>
      </c>
      <c r="AA11" s="329" t="n">
        <f aca="false">VLOOKUP($A$4:$A$30,'[6]Anexo III- Qde Prof_Empr_RRT'!$A$5:$X$37,21,)</f>
        <v>29.5454545454545</v>
      </c>
      <c r="AB11" s="328" t="n">
        <f aca="false">VLOOKUP($A$4:$A$30,'[6]Anexo III- Qde Prof_Empr_RRT'!$A$5:$X$37,24,)</f>
        <v>15329</v>
      </c>
      <c r="AD11" s="296" t="n">
        <v>0</v>
      </c>
      <c r="AF11" s="296" t="n">
        <f aca="false">VLOOKUP($A$4:$A$30,'[7]Demonstrativos 2020'!$A$6:$Y$32,25,)</f>
        <v>2085182.65</v>
      </c>
      <c r="AG11" s="296"/>
      <c r="AH11" s="298" t="n">
        <v>4108508</v>
      </c>
      <c r="AJ11" s="334" t="s">
        <v>415</v>
      </c>
      <c r="AK11" s="325" t="e">
        <f aca="false">VLOOKUP($AK$2,'Diretrizes - Resumo'!$A$4:$I$30,6,)</f>
        <v>#REF!</v>
      </c>
      <c r="AR11" s="332"/>
    </row>
    <row r="12" customFormat="false" ht="16" hidden="false" customHeight="false" outlineLevel="0" collapsed="false">
      <c r="A12" s="300" t="s">
        <v>552</v>
      </c>
      <c r="B12" s="295" t="n">
        <f aca="false">VLOOKUP($A$4:$A$30,'[5]Anexo V-Resumo Valor 80% '!$A$4:$Q$36,5,)</f>
        <v>1379093.664</v>
      </c>
      <c r="C12" s="295" t="n">
        <f aca="false">VLOOKUP($A$4:$A$30,'[5]Anexo V-Resumo Valor 80% '!$A$4:$Q$36,6,)</f>
        <v>221931.152</v>
      </c>
      <c r="D12" s="295" t="n">
        <f aca="false">B12+C12</f>
        <v>1601024.816</v>
      </c>
      <c r="E12" s="295" t="n">
        <f aca="false">VLOOKUP($A$4:$A$30,'[5]Anexo V-Resumo Valor 80% '!$A$4:$Q$36,11,)</f>
        <v>82964.976</v>
      </c>
      <c r="F12" s="295" t="n">
        <f aca="false">VLOOKUP($A$4:$A$30,'[5]Anexo V-Resumo Valor 80% '!$A$4:$Q$36,12,)</f>
        <v>90843.424</v>
      </c>
      <c r="G12" s="295" t="n">
        <f aca="false">E12+F12</f>
        <v>173808.4</v>
      </c>
      <c r="H12" s="295" t="n">
        <f aca="false">VLOOKUP($A$4:$A$30,'[5]Anexo V-Resumo Valor 80% '!$A$4:$Q$36,15,)</f>
        <v>2651635</v>
      </c>
      <c r="I12" s="295" t="n">
        <f aca="false">VLOOKUP($A$4:$A$30,'[5]Anexo V-Resumo Valor 80% '!$A$4:$Q$36,17,)</f>
        <v>158024.91</v>
      </c>
      <c r="J12" s="326" t="n">
        <f aca="false">I12+H12+G12+D12</f>
        <v>4584493.126</v>
      </c>
      <c r="K12" s="327" t="n">
        <f aca="false">J12-VLOOKUP($A$4:$A$30,'[5]Anexo V-Resumo Valor 80% '!$A$4:$S$36,19,)</f>
        <v>0</v>
      </c>
      <c r="L12" s="295" t="n">
        <f aca="false">VLOOKUP($A$4:$A$30,'[6]Anexo VI.I-Aporte do FA'!$A$4:$C$33,3,)</f>
        <v>84498.8994304331</v>
      </c>
      <c r="M12" s="295"/>
      <c r="N12" s="295"/>
      <c r="P12" s="295" t="n">
        <f aca="false">VLOOKUP($A$4:$A$30,'[6]Anexo VII- CSC - SERV.'!$A$4:$D$37,4,)</f>
        <v>362434.7</v>
      </c>
      <c r="Q12" s="295" t="n">
        <f aca="false">VLOOKUP($A$4:$A$30,'[6]Anexo VII- CSC - SERV.'!$A$4:$F$38,6,)-P12</f>
        <v>43313.642250349</v>
      </c>
      <c r="R12" s="297" t="n">
        <f aca="false">VLOOKUP($A$4:$A$30,'[6]Anexo VII- CSC - SERV.'!$A$4:$F$38,6,)-(P12+Q12)</f>
        <v>0</v>
      </c>
      <c r="S12" s="295"/>
      <c r="U12" s="295" t="n">
        <f aca="false">VLOOKUP($A$4:$A$30,'[6] Anexo VIII-TARIFAS BANCÁRIAS'!$A$3:$D$35,4,)</f>
        <v>20244.566489576</v>
      </c>
      <c r="W12" s="328" t="n">
        <f aca="false">VLOOKUP($A$4:$A$30,'[6]Anexo III- Qde Prof_Empr_RRT'!$A$5:$X$37,3,)</f>
        <v>5336</v>
      </c>
      <c r="X12" s="328" t="n">
        <f aca="false">VLOOKUP($A$4:$A$30,'[6]Anexo III- Qde Prof_Empr_RRT'!$A$5:$X$37,6,)</f>
        <v>5100</v>
      </c>
      <c r="Y12" s="329" t="n">
        <f aca="false">VLOOKUP($A$4:$A$30,'[6]Anexo III- Qde Prof_Empr_RRT'!$A$5:$X$37,12,)</f>
        <v>28.2745098039216</v>
      </c>
      <c r="Z12" s="328" t="n">
        <f aca="false">VLOOKUP($A$4:$A$30,'[6]Anexo III- Qde Prof_Empr_RRT'!$A$5:$X$37,15,)</f>
        <v>721</v>
      </c>
      <c r="AA12" s="329" t="n">
        <f aca="false">VLOOKUP($A$4:$A$30,'[6]Anexo III- Qde Prof_Empr_RRT'!$A$5:$X$37,21,)</f>
        <v>69.625520110957</v>
      </c>
      <c r="AB12" s="328" t="n">
        <f aca="false">VLOOKUP($A$4:$A$30,'[6]Anexo III- Qde Prof_Empr_RRT'!$A$5:$X$37,24,)</f>
        <v>30625</v>
      </c>
      <c r="AD12" s="296" t="n">
        <v>0</v>
      </c>
      <c r="AF12" s="296" t="n">
        <f aca="false">VLOOKUP($A$4:$A$30,'[7]Demonstrativos 2020'!$A$6:$Y$32,25,)</f>
        <v>2015911.8</v>
      </c>
      <c r="AG12" s="296"/>
      <c r="AH12" s="298" t="n">
        <v>7206589</v>
      </c>
      <c r="AJ12" s="338" t="s">
        <v>416</v>
      </c>
      <c r="AK12" s="325" t="e">
        <f aca="false">VLOOKUP($AK$2,'Diretrizes - Resumo'!$A$4:$I$30,8,)</f>
        <v>#REF!</v>
      </c>
      <c r="AR12" s="332"/>
    </row>
    <row r="13" customFormat="false" ht="16" hidden="false" customHeight="false" outlineLevel="0" collapsed="false">
      <c r="A13" s="300" t="s">
        <v>555</v>
      </c>
      <c r="B13" s="295" t="n">
        <f aca="false">VLOOKUP($A$4:$A$30,'[5]Anexo V-Resumo Valor 80% '!$A$4:$Q$36,5,)</f>
        <v>511040.368</v>
      </c>
      <c r="C13" s="295" t="n">
        <f aca="false">VLOOKUP($A$4:$A$30,'[5]Anexo V-Resumo Valor 80% '!$A$4:$Q$36,6,)</f>
        <v>104363.144</v>
      </c>
      <c r="D13" s="295" t="n">
        <f aca="false">B13+C13</f>
        <v>615403.512</v>
      </c>
      <c r="E13" s="295" t="n">
        <f aca="false">VLOOKUP($A$4:$A$30,'[5]Anexo V-Resumo Valor 80% '!$A$4:$Q$36,11,)</f>
        <v>41637.816</v>
      </c>
      <c r="F13" s="295" t="n">
        <f aca="false">VLOOKUP($A$4:$A$30,'[5]Anexo V-Resumo Valor 80% '!$A$4:$Q$36,12,)</f>
        <v>37561.28</v>
      </c>
      <c r="G13" s="295" t="n">
        <f aca="false">E13+F13</f>
        <v>79199.096</v>
      </c>
      <c r="H13" s="295" t="n">
        <f aca="false">VLOOKUP($A$4:$A$30,'[5]Anexo V-Resumo Valor 80% '!$A$4:$Q$36,15,)</f>
        <v>479848.53</v>
      </c>
      <c r="I13" s="295" t="n">
        <f aca="false">VLOOKUP($A$4:$A$30,'[5]Anexo V-Resumo Valor 80% '!$A$4:$Q$36,17,)</f>
        <v>52850.3</v>
      </c>
      <c r="J13" s="326" t="n">
        <f aca="false">I13+H13+G13+D13</f>
        <v>1227301.438</v>
      </c>
      <c r="K13" s="327" t="n">
        <f aca="false">J13-VLOOKUP($A$4:$A$30,'[5]Anexo V-Resumo Valor 80% '!$A$4:$S$36,19,)</f>
        <v>0</v>
      </c>
      <c r="L13" s="295" t="n">
        <f aca="false">VLOOKUP($A$4:$A$30,'[6]Anexo VI.I-Aporte do FA'!$A$4:$C$33,3,)</f>
        <v>22699.7415514921</v>
      </c>
      <c r="M13" s="295" t="n">
        <f aca="false">'[6]Anexo VI-Repasse Fundo de Apoio'!$G$16</f>
        <v>17240</v>
      </c>
      <c r="N13" s="295" t="n">
        <f aca="false">'[6]Anexo VI-Repasse Fundo de Apoio'!$H$16</f>
        <v>124511.195459942</v>
      </c>
      <c r="P13" s="295" t="n">
        <f aca="false">VLOOKUP($A$4:$A$30,'[6]Anexo VII- CSC - SERV.'!$A$4:$D$37,4,)</f>
        <v>97364.27</v>
      </c>
      <c r="Q13" s="295" t="n">
        <f aca="false">VLOOKUP($A$4:$A$30,'[6]Anexo VII- CSC - SERV.'!$A$4:$F$38,6,)-P13</f>
        <v>11374.589459942</v>
      </c>
      <c r="R13" s="297" t="n">
        <f aca="false">VLOOKUP($A$4:$A$30,'[6]Anexo VII- CSC - SERV.'!$A$4:$F$38,6,)-(P13+Q13)</f>
        <v>0</v>
      </c>
      <c r="S13" s="295"/>
      <c r="U13" s="295" t="n">
        <f aca="false">VLOOKUP($A$4:$A$30,'[6] Anexo VIII-TARIFAS BANCÁRIAS'!$A$3:$D$35,4,)</f>
        <v>4047.925050624</v>
      </c>
      <c r="W13" s="328" t="n">
        <f aca="false">VLOOKUP($A$4:$A$30,'[6]Anexo III- Qde Prof_Empr_RRT'!$A$5:$X$37,3,)</f>
        <v>2161</v>
      </c>
      <c r="X13" s="328" t="n">
        <f aca="false">VLOOKUP($A$4:$A$30,'[6]Anexo III- Qde Prof_Empr_RRT'!$A$5:$X$37,6,)</f>
        <v>2133</v>
      </c>
      <c r="Y13" s="329" t="n">
        <f aca="false">VLOOKUP($A$4:$A$30,'[6]Anexo III- Qde Prof_Empr_RRT'!$A$5:$X$37,12,)</f>
        <v>35.0679793717768</v>
      </c>
      <c r="Z13" s="328" t="n">
        <f aca="false">VLOOKUP($A$4:$A$30,'[6]Anexo III- Qde Prof_Empr_RRT'!$A$5:$X$37,15,)</f>
        <v>301</v>
      </c>
      <c r="AA13" s="329" t="n">
        <f aca="false">VLOOKUP($A$4:$A$30,'[6]Anexo III- Qde Prof_Empr_RRT'!$A$5:$X$37,21,)</f>
        <v>63.4551495016611</v>
      </c>
      <c r="AB13" s="328" t="n">
        <f aca="false">VLOOKUP($A$4:$A$30,'[6]Anexo III- Qde Prof_Empr_RRT'!$A$5:$X$37,24,)</f>
        <v>5542</v>
      </c>
      <c r="AD13" s="296" t="n">
        <v>0</v>
      </c>
      <c r="AF13" s="296" t="n">
        <f aca="false">VLOOKUP($A$4:$A$30,'[7]Demonstrativos 2020'!$A$6:$Y$32,25,)</f>
        <v>67318.43</v>
      </c>
      <c r="AG13" s="296"/>
      <c r="AH13" s="298" t="n">
        <v>7153262</v>
      </c>
      <c r="AJ13" s="338" t="s">
        <v>626</v>
      </c>
      <c r="AK13" s="325" t="e">
        <f aca="false">VLOOKUP($AK$2,'Diretrizes - Resumo'!$A$4:$I$30,9,)</f>
        <v>#REF!</v>
      </c>
      <c r="AR13" s="332"/>
    </row>
    <row r="14" customFormat="false" ht="16" hidden="false" customHeight="false" outlineLevel="0" collapsed="false">
      <c r="A14" s="300" t="s">
        <v>558</v>
      </c>
      <c r="B14" s="295" t="n">
        <f aca="false">VLOOKUP($A$4:$A$30,'[5]Anexo V-Resumo Valor 80% '!$A$4:$Q$36,5,)</f>
        <v>4786978.784</v>
      </c>
      <c r="C14" s="295" t="n">
        <f aca="false">VLOOKUP($A$4:$A$30,'[5]Anexo V-Resumo Valor 80% '!$A$4:$Q$36,6,)</f>
        <v>672571.16</v>
      </c>
      <c r="D14" s="295" t="n">
        <f aca="false">B14+C14</f>
        <v>5459549.944</v>
      </c>
      <c r="E14" s="295" t="n">
        <f aca="false">VLOOKUP($A$4:$A$30,'[5]Anexo V-Resumo Valor 80% '!$A$4:$Q$36,11,)</f>
        <v>430923.352</v>
      </c>
      <c r="F14" s="295" t="n">
        <f aca="false">VLOOKUP($A$4:$A$30,'[5]Anexo V-Resumo Valor 80% '!$A$4:$Q$36,12,)</f>
        <v>80833.144</v>
      </c>
      <c r="G14" s="295" t="n">
        <f aca="false">E14+F14</f>
        <v>511756.496</v>
      </c>
      <c r="H14" s="295" t="n">
        <f aca="false">VLOOKUP($A$4:$A$30,'[5]Anexo V-Resumo Valor 80% '!$A$4:$Q$36,15,)</f>
        <v>4935114.83</v>
      </c>
      <c r="I14" s="295" t="n">
        <f aca="false">VLOOKUP($A$4:$A$30,'[5]Anexo V-Resumo Valor 80% '!$A$4:$Q$36,17,)</f>
        <v>592965.98</v>
      </c>
      <c r="J14" s="326" t="n">
        <f aca="false">I14+H14+G14+D14</f>
        <v>11499387.25</v>
      </c>
      <c r="K14" s="327" t="n">
        <f aca="false">J14-VLOOKUP($A$4:$A$30,'[5]Anexo V-Resumo Valor 80% '!$A$4:$S$36,19,)</f>
        <v>0</v>
      </c>
      <c r="L14" s="295" t="n">
        <f aca="false">VLOOKUP($A$4:$A$30,'[6]Anexo VI.I-Aporte do FA'!$A$4:$C$33,3,)</f>
        <v>208977.013774634</v>
      </c>
      <c r="M14" s="295"/>
      <c r="N14" s="295"/>
      <c r="P14" s="295" t="n">
        <f aca="false">VLOOKUP($A$4:$A$30,'[6]Anexo VII- CSC - SERV.'!$A$4:$D$37,4,)</f>
        <v>896349.2</v>
      </c>
      <c r="Q14" s="295" t="n">
        <f aca="false">VLOOKUP($A$4:$A$30,'[6]Anexo VII- CSC - SERV.'!$A$4:$F$38,6,)-P14</f>
        <v>111232.17101488</v>
      </c>
      <c r="R14" s="297" t="n">
        <f aca="false">VLOOKUP($A$4:$A$30,'[6]Anexo VII- CSC - SERV.'!$A$4:$F$38,6,)-(P14+Q14)</f>
        <v>0</v>
      </c>
      <c r="S14" s="295"/>
      <c r="U14" s="295" t="n">
        <f aca="false">VLOOKUP($A$4:$A$30,'[6] Anexo VIII-TARIFAS BANCÁRIAS'!$A$3:$D$35,4,)</f>
        <v>47746.521404244</v>
      </c>
      <c r="W14" s="328" t="n">
        <f aca="false">VLOOKUP($A$4:$A$30,'[6]Anexo III- Qde Prof_Empr_RRT'!$A$5:$X$37,3,)</f>
        <v>17458</v>
      </c>
      <c r="X14" s="328" t="n">
        <f aca="false">VLOOKUP($A$4:$A$30,'[6]Anexo III- Qde Prof_Empr_RRT'!$A$5:$X$37,6,)</f>
        <v>16749</v>
      </c>
      <c r="Y14" s="329" t="n">
        <f aca="false">VLOOKUP($A$4:$A$30,'[6]Anexo III- Qde Prof_Empr_RRT'!$A$5:$X$37,12,)</f>
        <v>24.6761000656756</v>
      </c>
      <c r="Z14" s="328" t="n">
        <f aca="false">VLOOKUP($A$4:$A$30,'[6]Anexo III- Qde Prof_Empr_RRT'!$A$5:$X$37,15,)</f>
        <v>1892</v>
      </c>
      <c r="AA14" s="329" t="n">
        <f aca="false">VLOOKUP($A$4:$A$30,'[6]Anexo III- Qde Prof_Empr_RRT'!$A$5:$X$37,21,)</f>
        <v>39.7463002114165</v>
      </c>
      <c r="AB14" s="328" t="n">
        <f aca="false">VLOOKUP($A$4:$A$30,'[6]Anexo III- Qde Prof_Empr_RRT'!$A$5:$X$37,24,)</f>
        <v>56998</v>
      </c>
      <c r="AD14" s="296" t="n">
        <v>0</v>
      </c>
      <c r="AF14" s="296" t="n">
        <f aca="false">VLOOKUP($A$4:$A$30,'[7]Demonstrativos 2020'!$A$6:$Y$32,25,)</f>
        <v>9291279.54</v>
      </c>
      <c r="AG14" s="296"/>
      <c r="AH14" s="298" t="n">
        <v>21411923</v>
      </c>
      <c r="AJ14" s="338" t="s">
        <v>418</v>
      </c>
      <c r="AK14" s="339"/>
      <c r="AR14" s="332"/>
    </row>
    <row r="15" customFormat="false" ht="16" hidden="false" customHeight="false" outlineLevel="0" collapsed="false">
      <c r="A15" s="300" t="s">
        <v>561</v>
      </c>
      <c r="B15" s="295" t="n">
        <f aca="false">VLOOKUP($A$4:$A$30,'[5]Anexo V-Resumo Valor 80% '!$A$4:$Q$36,5,)</f>
        <v>854276.048</v>
      </c>
      <c r="C15" s="295" t="n">
        <f aca="false">VLOOKUP($A$4:$A$30,'[5]Anexo V-Resumo Valor 80% '!$A$4:$Q$36,6,)</f>
        <v>228507.672</v>
      </c>
      <c r="D15" s="295" t="n">
        <f aca="false">B15+C15</f>
        <v>1082783.72</v>
      </c>
      <c r="E15" s="295" t="n">
        <f aca="false">VLOOKUP($A$4:$A$30,'[5]Anexo V-Resumo Valor 80% '!$A$4:$Q$36,11,)</f>
        <v>121900.352</v>
      </c>
      <c r="F15" s="295" t="n">
        <f aca="false">VLOOKUP($A$4:$A$30,'[5]Anexo V-Resumo Valor 80% '!$A$4:$Q$36,12,)</f>
        <v>53173.904</v>
      </c>
      <c r="G15" s="295" t="n">
        <f aca="false">E15+F15</f>
        <v>175074.256</v>
      </c>
      <c r="H15" s="295" t="n">
        <f aca="false">VLOOKUP($A$4:$A$30,'[5]Anexo V-Resumo Valor 80% '!$A$4:$Q$36,15,)</f>
        <v>1860776.74</v>
      </c>
      <c r="I15" s="295" t="n">
        <f aca="false">VLOOKUP($A$4:$A$30,'[5]Anexo V-Resumo Valor 80% '!$A$4:$Q$36,17,)</f>
        <v>144739.52</v>
      </c>
      <c r="J15" s="326" t="n">
        <f aca="false">I15+H15+G15+D15</f>
        <v>3263374.236</v>
      </c>
      <c r="K15" s="327" t="n">
        <f aca="false">J15-VLOOKUP($A$4:$A$30,'[5]Anexo V-Resumo Valor 80% '!$A$4:$S$36,19,)</f>
        <v>0</v>
      </c>
      <c r="L15" s="295" t="n">
        <f aca="false">VLOOKUP($A$4:$A$30,'[6]Anexo VI.I-Aporte do FA'!$A$4:$C$33,3,)</f>
        <v>59706.5878594651</v>
      </c>
      <c r="M15" s="295"/>
      <c r="N15" s="295"/>
      <c r="P15" s="295" t="n">
        <f aca="false">VLOOKUP($A$4:$A$30,'[6]Anexo VII- CSC - SERV.'!$A$4:$D$37,4,)</f>
        <v>256094.92</v>
      </c>
      <c r="Q15" s="295" t="n">
        <f aca="false">VLOOKUP($A$4:$A$30,'[6]Anexo VII- CSC - SERV.'!$A$4:$F$38,6,)-P15</f>
        <v>30235.562340462</v>
      </c>
      <c r="R15" s="297" t="n">
        <f aca="false">VLOOKUP($A$4:$A$30,'[6]Anexo VII- CSC - SERV.'!$A$4:$F$38,6,)-(P15+Q15)</f>
        <v>0</v>
      </c>
      <c r="S15" s="295"/>
      <c r="U15" s="295" t="n">
        <f aca="false">VLOOKUP($A$4:$A$30,'[6] Anexo VIII-TARIFAS BANCÁRIAS'!$A$3:$D$35,4,)</f>
        <v>14188.692829558</v>
      </c>
      <c r="W15" s="328" t="n">
        <f aca="false">VLOOKUP($A$4:$A$30,'[6]Anexo III- Qde Prof_Empr_RRT'!$A$5:$X$37,3,)</f>
        <v>3649</v>
      </c>
      <c r="X15" s="328" t="n">
        <f aca="false">VLOOKUP($A$4:$A$30,'[6]Anexo III- Qde Prof_Empr_RRT'!$A$5:$X$37,6,)</f>
        <v>3554</v>
      </c>
      <c r="Y15" s="329" t="n">
        <f aca="false">VLOOKUP($A$4:$A$30,'[6]Anexo III- Qde Prof_Empr_RRT'!$A$5:$X$37,12,)</f>
        <v>36.381541924592</v>
      </c>
      <c r="Z15" s="328" t="n">
        <f aca="false">VLOOKUP($A$4:$A$30,'[6]Anexo III- Qde Prof_Empr_RRT'!$A$5:$X$37,15,)</f>
        <v>686</v>
      </c>
      <c r="AA15" s="329" t="n">
        <f aca="false">VLOOKUP($A$4:$A$30,'[6]Anexo III- Qde Prof_Empr_RRT'!$A$5:$X$37,21,)</f>
        <v>52.9154518950437</v>
      </c>
      <c r="AB15" s="328" t="n">
        <f aca="false">VLOOKUP($A$4:$A$30,'[6]Anexo III- Qde Prof_Empr_RRT'!$A$5:$X$37,24,)</f>
        <v>21491</v>
      </c>
      <c r="AD15" s="296" t="n">
        <v>0</v>
      </c>
      <c r="AF15" s="296" t="n">
        <f aca="false">VLOOKUP($A$4:$A$30,'[7]Demonstrativos 2020'!$A$6:$Y$32,25,)</f>
        <v>715780.57</v>
      </c>
      <c r="AG15" s="296"/>
      <c r="AH15" s="298" t="n">
        <v>2839188</v>
      </c>
      <c r="AJ15" s="338" t="s">
        <v>419</v>
      </c>
      <c r="AK15" s="340" t="e">
        <f aca="false">VLOOKUP($AK$2,'Diretrizes - Resumo'!$A$4:$U$30,21,)</f>
        <v>#REF!</v>
      </c>
      <c r="AR15" s="332"/>
    </row>
    <row r="16" customFormat="false" ht="16" hidden="false" customHeight="false" outlineLevel="0" collapsed="false">
      <c r="A16" s="300" t="s">
        <v>564</v>
      </c>
      <c r="B16" s="295" t="n">
        <f aca="false">VLOOKUP($A$4:$A$30,'[5]Anexo V-Resumo Valor 80% '!$A$4:$Q$36,5,)</f>
        <v>1059141.168</v>
      </c>
      <c r="C16" s="295" t="n">
        <f aca="false">VLOOKUP($A$4:$A$30,'[5]Anexo V-Resumo Valor 80% '!$A$4:$Q$36,6,)</f>
        <v>128444.176</v>
      </c>
      <c r="D16" s="295" t="n">
        <f aca="false">B16+C16</f>
        <v>1187585.344</v>
      </c>
      <c r="E16" s="295" t="n">
        <f aca="false">VLOOKUP($A$4:$A$30,'[5]Anexo V-Resumo Valor 80% '!$A$4:$Q$36,11,)</f>
        <v>108266.904</v>
      </c>
      <c r="F16" s="295" t="n">
        <f aca="false">VLOOKUP($A$4:$A$30,'[5]Anexo V-Resumo Valor 80% '!$A$4:$Q$36,12,)</f>
        <v>47635.456</v>
      </c>
      <c r="G16" s="295" t="n">
        <f aca="false">E16+F16</f>
        <v>155902.36</v>
      </c>
      <c r="H16" s="295" t="n">
        <f aca="false">VLOOKUP($A$4:$A$30,'[5]Anexo V-Resumo Valor 80% '!$A$4:$Q$36,15,)</f>
        <v>2977710.34</v>
      </c>
      <c r="I16" s="295" t="n">
        <f aca="false">VLOOKUP($A$4:$A$30,'[5]Anexo V-Resumo Valor 80% '!$A$4:$Q$36,17,)</f>
        <v>129635.94</v>
      </c>
      <c r="J16" s="326" t="n">
        <f aca="false">I16+H16+G16+D16</f>
        <v>4450833.984</v>
      </c>
      <c r="K16" s="327" t="n">
        <f aca="false">J16-VLOOKUP($A$4:$A$30,'[5]Anexo V-Resumo Valor 80% '!$A$4:$S$36,19,)</f>
        <v>0</v>
      </c>
      <c r="L16" s="295" t="n">
        <f aca="false">VLOOKUP($A$4:$A$30,'[6]Anexo VI.I-Aporte do FA'!$A$4:$C$33,3,)</f>
        <v>81621.1548882397</v>
      </c>
      <c r="M16" s="295"/>
      <c r="N16" s="295"/>
      <c r="P16" s="295" t="n">
        <f aca="false">VLOOKUP($A$4:$A$30,'[6]Anexo VII- CSC - SERV.'!$A$4:$D$37,4,)</f>
        <v>350091.41</v>
      </c>
      <c r="Q16" s="295" t="n">
        <f aca="false">VLOOKUP($A$4:$A$30,'[6]Anexo VII- CSC - SERV.'!$A$4:$F$38,6,)-P16</f>
        <v>42028.667586904</v>
      </c>
      <c r="R16" s="297" t="n">
        <f aca="false">VLOOKUP($A$4:$A$30,'[6]Anexo VII- CSC - SERV.'!$A$4:$F$38,6,)-(P16+Q16)</f>
        <v>0</v>
      </c>
      <c r="S16" s="295"/>
      <c r="U16" s="295" t="n">
        <f aca="false">VLOOKUP($A$4:$A$30,'[6] Anexo VIII-TARIFAS BANCÁRIAS'!$A$3:$D$35,4,)</f>
        <v>18539.373852428</v>
      </c>
      <c r="W16" s="328" t="n">
        <f aca="false">VLOOKUP($A$4:$A$30,'[6]Anexo III- Qde Prof_Empr_RRT'!$A$5:$X$37,3,)</f>
        <v>3626</v>
      </c>
      <c r="X16" s="328" t="n">
        <f aca="false">VLOOKUP($A$4:$A$30,'[6]Anexo III- Qde Prof_Empr_RRT'!$A$5:$X$37,6,)</f>
        <v>3563</v>
      </c>
      <c r="Y16" s="329" t="n">
        <f aca="false">VLOOKUP($A$4:$A$30,'[6]Anexo III- Qde Prof_Empr_RRT'!$A$5:$X$37,12,)</f>
        <v>23.2949761436991</v>
      </c>
      <c r="Z16" s="328" t="n">
        <f aca="false">VLOOKUP($A$4:$A$30,'[6]Anexo III- Qde Prof_Empr_RRT'!$A$5:$X$37,15,)</f>
        <v>643</v>
      </c>
      <c r="AA16" s="329" t="n">
        <f aca="false">VLOOKUP($A$4:$A$30,'[6]Anexo III- Qde Prof_Empr_RRT'!$A$5:$X$37,21,)</f>
        <v>55.5209953343701</v>
      </c>
      <c r="AB16" s="328" t="n">
        <f aca="false">VLOOKUP($A$4:$A$30,'[6]Anexo III- Qde Prof_Empr_RRT'!$A$5:$X$37,24,)</f>
        <v>34391</v>
      </c>
      <c r="AD16" s="296" t="n">
        <v>0</v>
      </c>
      <c r="AF16" s="296" t="n">
        <f aca="false">VLOOKUP($A$4:$A$30,'[7]Demonstrativos 2020'!$A$6:$Y$32,25,)</f>
        <v>1836973.55</v>
      </c>
      <c r="AG16" s="296"/>
      <c r="AH16" s="298" t="n">
        <v>3567234</v>
      </c>
      <c r="AJ16" s="338" t="s">
        <v>420</v>
      </c>
      <c r="AK16" s="340" t="e">
        <f aca="false">VLOOKUP($AK$2,'Diretrizes - Resumo'!$A$4:$N$30,14,)</f>
        <v>#REF!</v>
      </c>
      <c r="AR16" s="332"/>
    </row>
    <row r="17" customFormat="false" ht="16" hidden="false" customHeight="false" outlineLevel="0" collapsed="false">
      <c r="A17" s="300" t="s">
        <v>567</v>
      </c>
      <c r="B17" s="295" t="n">
        <f aca="false">VLOOKUP($A$4:$A$30,'[5]Anexo V-Resumo Valor 80% '!$A$4:$Q$36,5,)</f>
        <v>631256.576</v>
      </c>
      <c r="C17" s="295" t="n">
        <f aca="false">VLOOKUP($A$4:$A$30,'[5]Anexo V-Resumo Valor 80% '!$A$4:$Q$36,6,)</f>
        <v>288818.384</v>
      </c>
      <c r="D17" s="295" t="n">
        <f aca="false">B17+C17</f>
        <v>920074.96</v>
      </c>
      <c r="E17" s="295" t="n">
        <f aca="false">VLOOKUP($A$4:$A$30,'[5]Anexo V-Resumo Valor 80% '!$A$4:$Q$36,11,)</f>
        <v>51412.072</v>
      </c>
      <c r="F17" s="295" t="n">
        <f aca="false">VLOOKUP($A$4:$A$30,'[5]Anexo V-Resumo Valor 80% '!$A$4:$Q$36,12,)</f>
        <v>30925.568</v>
      </c>
      <c r="G17" s="295" t="n">
        <f aca="false">E17+F17</f>
        <v>82337.64</v>
      </c>
      <c r="H17" s="295" t="n">
        <f aca="false">VLOOKUP($A$4:$A$30,'[5]Anexo V-Resumo Valor 80% '!$A$4:$Q$36,15,)</f>
        <v>718127.7</v>
      </c>
      <c r="I17" s="295" t="n">
        <f aca="false">VLOOKUP($A$4:$A$30,'[5]Anexo V-Resumo Valor 80% '!$A$4:$Q$36,17,)</f>
        <v>77424.31</v>
      </c>
      <c r="J17" s="326" t="n">
        <f aca="false">I17+H17+G17+D17</f>
        <v>1797964.61</v>
      </c>
      <c r="K17" s="327" t="n">
        <f aca="false">J17-VLOOKUP($A$4:$A$30,'[5]Anexo V-Resumo Valor 80% '!$A$4:$S$36,19,)</f>
        <v>0</v>
      </c>
      <c r="L17" s="295" t="n">
        <f aca="false">VLOOKUP($A$4:$A$30,'[6]Anexo VI.I-Aporte do FA'!$A$4:$C$33,3,)</f>
        <v>32368.1059364752</v>
      </c>
      <c r="M17" s="295"/>
      <c r="N17" s="295"/>
      <c r="P17" s="295" t="n">
        <f aca="false">VLOOKUP($A$4:$A$30,'[6]Anexo VII- CSC - SERV.'!$A$4:$D$37,4,)</f>
        <v>138834.05</v>
      </c>
      <c r="Q17" s="295" t="n">
        <f aca="false">VLOOKUP($A$4:$A$30,'[6]Anexo VII- CSC - SERV.'!$A$4:$F$38,6,)-P17</f>
        <v>16260.147768444</v>
      </c>
      <c r="R17" s="297" t="n">
        <f aca="false">VLOOKUP($A$4:$A$30,'[6]Anexo VII- CSC - SERV.'!$A$4:$F$38,6,)-(P17+Q17)</f>
        <v>0</v>
      </c>
      <c r="S17" s="295"/>
      <c r="U17" s="295" t="n">
        <f aca="false">VLOOKUP($A$4:$A$30,'[6] Anexo VIII-TARIFAS BANCÁRIAS'!$A$3:$D$35,4,)</f>
        <v>7872.51473281</v>
      </c>
      <c r="W17" s="328" t="n">
        <f aca="false">VLOOKUP($A$4:$A$30,'[6]Anexo III- Qde Prof_Empr_RRT'!$A$5:$X$37,3,)</f>
        <v>3191.6</v>
      </c>
      <c r="X17" s="328" t="n">
        <f aca="false">VLOOKUP($A$4:$A$30,'[6]Anexo III- Qde Prof_Empr_RRT'!$A$5:$X$37,6,)</f>
        <v>3024.6</v>
      </c>
      <c r="Y17" s="329" t="n">
        <f aca="false">VLOOKUP($A$4:$A$30,'[6]Anexo III- Qde Prof_Empr_RRT'!$A$5:$X$37,12,)</f>
        <v>42.3064206837268</v>
      </c>
      <c r="Z17" s="328" t="n">
        <f aca="false">VLOOKUP($A$4:$A$30,'[6]Anexo III- Qde Prof_Empr_RRT'!$A$5:$X$37,15,)</f>
        <v>435</v>
      </c>
      <c r="AA17" s="329" t="n">
        <f aca="false">VLOOKUP($A$4:$A$30,'[6]Anexo III- Qde Prof_Empr_RRT'!$A$5:$X$37,21,)</f>
        <v>68.7356321839081</v>
      </c>
      <c r="AB17" s="328" t="n">
        <f aca="false">VLOOKUP($A$4:$A$30,'[6]Anexo III- Qde Prof_Empr_RRT'!$A$5:$X$37,24,)</f>
        <v>8294</v>
      </c>
      <c r="AD17" s="296" t="n">
        <v>0</v>
      </c>
      <c r="AF17" s="296" t="n">
        <f aca="false">VLOOKUP($A$4:$A$30,'[7]Demonstrativos 2020'!$A$6:$Y$32,25,)</f>
        <v>1313598.96</v>
      </c>
      <c r="AG17" s="296"/>
      <c r="AH17" s="298" t="n">
        <v>8777124</v>
      </c>
      <c r="AJ17" s="341"/>
      <c r="AK17" s="342"/>
      <c r="AR17" s="332"/>
    </row>
    <row r="18" customFormat="false" ht="16" hidden="false" customHeight="true" outlineLevel="0" collapsed="false">
      <c r="A18" s="300" t="s">
        <v>570</v>
      </c>
      <c r="B18" s="295" t="n">
        <f aca="false">VLOOKUP($A$4:$A$30,'[5]Anexo V-Resumo Valor 80% '!$A$4:$Q$36,5,)</f>
        <v>779545.168</v>
      </c>
      <c r="C18" s="295" t="n">
        <f aca="false">VLOOKUP($A$4:$A$30,'[5]Anexo V-Resumo Valor 80% '!$A$4:$Q$36,6,)</f>
        <v>158167.888</v>
      </c>
      <c r="D18" s="295" t="n">
        <f aca="false">B18+C18</f>
        <v>937713.056</v>
      </c>
      <c r="E18" s="295" t="n">
        <f aca="false">VLOOKUP($A$4:$A$30,'[5]Anexo V-Resumo Valor 80% '!$A$4:$Q$36,11,)</f>
        <v>67108.96</v>
      </c>
      <c r="F18" s="295" t="n">
        <f aca="false">VLOOKUP($A$4:$A$30,'[5]Anexo V-Resumo Valor 80% '!$A$4:$Q$36,12,)</f>
        <v>26325.712</v>
      </c>
      <c r="G18" s="295" t="n">
        <f aca="false">E18+F18</f>
        <v>93434.672</v>
      </c>
      <c r="H18" s="295" t="n">
        <f aca="false">VLOOKUP($A$4:$A$30,'[5]Anexo V-Resumo Valor 80% '!$A$4:$Q$36,15,)</f>
        <v>832331.99</v>
      </c>
      <c r="I18" s="295" t="n">
        <f aca="false">VLOOKUP($A$4:$A$30,'[5]Anexo V-Resumo Valor 80% '!$A$4:$Q$36,17,)</f>
        <v>102491.38</v>
      </c>
      <c r="J18" s="326" t="n">
        <f aca="false">I18+H18+G18+D18</f>
        <v>1965971.098</v>
      </c>
      <c r="K18" s="327" t="n">
        <f aca="false">J18-VLOOKUP($A$4:$A$30,'[5]Anexo V-Resumo Valor 80% '!$A$4:$S$36,19,)</f>
        <v>0</v>
      </c>
      <c r="L18" s="295" t="n">
        <f aca="false">VLOOKUP($A$4:$A$30,'[6]Anexo VI.I-Aporte do FA'!$A$4:$C$33,3,)</f>
        <v>36436.6326974969</v>
      </c>
      <c r="M18" s="295"/>
      <c r="N18" s="295"/>
      <c r="P18" s="295" t="n">
        <f aca="false">VLOOKUP($A$4:$A$30,'[6]Anexo VII- CSC - SERV.'!$A$4:$D$37,4,)</f>
        <v>156284.88</v>
      </c>
      <c r="Q18" s="295" t="n">
        <f aca="false">VLOOKUP($A$4:$A$30,'[6]Anexo VII- CSC - SERV.'!$A$4:$F$38,6,)-P18</f>
        <v>18644.740937998</v>
      </c>
      <c r="R18" s="297" t="n">
        <f aca="false">VLOOKUP($A$4:$A$30,'[6]Anexo VII- CSC - SERV.'!$A$4:$F$38,6,)-(P18+Q18)</f>
        <v>0</v>
      </c>
      <c r="S18" s="295" t="n">
        <f aca="false">VLOOKUP($A$4:$A$30,'[6]Anexo VII.III- SISCAF'!$A$10:$C$28,3,)</f>
        <v>15265.4478673222</v>
      </c>
      <c r="U18" s="295" t="n">
        <f aca="false">VLOOKUP($A$4:$A$30,'[6] Anexo VIII-TARIFAS BANCÁRIAS'!$A$3:$D$35,4,)</f>
        <v>8597.235259652</v>
      </c>
      <c r="W18" s="328" t="n">
        <f aca="false">VLOOKUP($A$4:$A$30,'[6]Anexo III- Qde Prof_Empr_RRT'!$A$5:$X$37,3,)</f>
        <v>3134</v>
      </c>
      <c r="X18" s="328" t="n">
        <f aca="false">VLOOKUP($A$4:$A$30,'[6]Anexo III- Qde Prof_Empr_RRT'!$A$5:$X$37,6,)</f>
        <v>3068</v>
      </c>
      <c r="Y18" s="329" t="n">
        <f aca="false">VLOOKUP($A$4:$A$30,'[6]Anexo III- Qde Prof_Empr_RRT'!$A$5:$X$37,12,)</f>
        <v>30.019556714472</v>
      </c>
      <c r="Z18" s="328" t="n">
        <f aca="false">VLOOKUP($A$4:$A$30,'[6]Anexo III- Qde Prof_Empr_RRT'!$A$5:$X$37,15,)</f>
        <v>273</v>
      </c>
      <c r="AA18" s="329" t="n">
        <f aca="false">VLOOKUP($A$4:$A$30,'[6]Anexo III- Qde Prof_Empr_RRT'!$A$5:$X$37,21,)</f>
        <v>35.1648351648352</v>
      </c>
      <c r="AB18" s="328" t="n">
        <f aca="false">VLOOKUP($A$4:$A$30,'[6]Anexo III- Qde Prof_Empr_RRT'!$A$5:$X$37,24,)</f>
        <v>9613</v>
      </c>
      <c r="AD18" s="296" t="n">
        <v>0</v>
      </c>
      <c r="AF18" s="296" t="n">
        <f aca="false">VLOOKUP($A$4:$A$30,'[7]Demonstrativos 2020'!$A$6:$Y$32,25,)</f>
        <v>1288484.52</v>
      </c>
      <c r="AG18" s="296"/>
      <c r="AH18" s="298" t="n">
        <v>4059905</v>
      </c>
      <c r="AJ18" s="314" t="s">
        <v>627</v>
      </c>
      <c r="AK18" s="314"/>
      <c r="AR18" s="332"/>
    </row>
    <row r="19" customFormat="false" ht="16" hidden="false" customHeight="false" outlineLevel="0" collapsed="false">
      <c r="A19" s="300" t="s">
        <v>328</v>
      </c>
      <c r="B19" s="295" t="n">
        <f aca="false">VLOOKUP($A$4:$A$30,'[5]Anexo V-Resumo Valor 80% '!$A$4:$Q$36,5,)</f>
        <v>1465865.048</v>
      </c>
      <c r="C19" s="295" t="n">
        <f aca="false">VLOOKUP($A$4:$A$30,'[5]Anexo V-Resumo Valor 80% '!$A$4:$Q$36,6,)</f>
        <v>195462.536</v>
      </c>
      <c r="D19" s="295" t="n">
        <f aca="false">B19+C19</f>
        <v>1661327.584</v>
      </c>
      <c r="E19" s="295" t="n">
        <f aca="false">VLOOKUP($A$4:$A$30,'[5]Anexo V-Resumo Valor 80% '!$A$4:$Q$36,11,)</f>
        <v>118013.408</v>
      </c>
      <c r="F19" s="295" t="n">
        <f aca="false">VLOOKUP($A$4:$A$30,'[5]Anexo V-Resumo Valor 80% '!$A$4:$Q$36,12,)</f>
        <v>26716.376</v>
      </c>
      <c r="G19" s="295" t="n">
        <f aca="false">E19+F19</f>
        <v>144729.784</v>
      </c>
      <c r="H19" s="295" t="n">
        <f aca="false">VLOOKUP($A$4:$A$30,'[5]Anexo V-Resumo Valor 80% '!$A$4:$Q$36,15,)</f>
        <v>1582322.6</v>
      </c>
      <c r="I19" s="295" t="n">
        <f aca="false">VLOOKUP($A$4:$A$30,'[5]Anexo V-Resumo Valor 80% '!$A$4:$Q$36,17,)</f>
        <v>186360.9</v>
      </c>
      <c r="J19" s="326" t="n">
        <f aca="false">I19+H19+G19+D19</f>
        <v>3574740.868</v>
      </c>
      <c r="K19" s="327" t="n">
        <f aca="false">J19-VLOOKUP($A$4:$A$30,'[5]Anexo V-Resumo Valor 80% '!$A$4:$S$36,19,)</f>
        <v>0</v>
      </c>
      <c r="L19" s="295" t="n">
        <f aca="false">VLOOKUP($A$4:$A$30,'[6]Anexo VI.I-Aporte do FA'!$A$4:$C$33,3,)</f>
        <v>65037.6563100349</v>
      </c>
      <c r="M19" s="295"/>
      <c r="N19" s="295"/>
      <c r="P19" s="295" t="n">
        <f aca="false">VLOOKUP($A$4:$A$30,'[6]Anexo VII- CSC - SERV.'!$A$4:$D$37,4,)</f>
        <v>278961.07</v>
      </c>
      <c r="Q19" s="295" t="n">
        <f aca="false">VLOOKUP($A$4:$A$30,'[6]Anexo VII- CSC - SERV.'!$A$4:$F$38,6,)-P19</f>
        <v>33917.863196987</v>
      </c>
      <c r="R19" s="297" t="n">
        <f aca="false">VLOOKUP($A$4:$A$30,'[6]Anexo VII- CSC - SERV.'!$A$4:$F$38,6,)-(P19+Q19)</f>
        <v>0</v>
      </c>
      <c r="S19" s="295"/>
      <c r="U19" s="295" t="n">
        <f aca="false">VLOOKUP($A$4:$A$30,'[6] Anexo VIII-TARIFAS BANCÁRIAS'!$A$3:$D$35,4,)</f>
        <v>13702.667599894</v>
      </c>
      <c r="W19" s="328" t="n">
        <f aca="false">VLOOKUP($A$4:$A$30,'[6]Anexo III- Qde Prof_Empr_RRT'!$A$5:$X$37,3,)</f>
        <v>5504.8</v>
      </c>
      <c r="X19" s="328" t="n">
        <f aca="false">VLOOKUP($A$4:$A$30,'[6]Anexo III- Qde Prof_Empr_RRT'!$A$5:$X$37,6,)</f>
        <v>5056.8</v>
      </c>
      <c r="Y19" s="329" t="n">
        <f aca="false">VLOOKUP($A$4:$A$30,'[6]Anexo III- Qde Prof_Empr_RRT'!$A$5:$X$37,12,)</f>
        <v>22.7376997310552</v>
      </c>
      <c r="Z19" s="328" t="n">
        <f aca="false">VLOOKUP($A$4:$A$30,'[6]Anexo III- Qde Prof_Empr_RRT'!$A$5:$X$37,15,)</f>
        <v>537</v>
      </c>
      <c r="AA19" s="329" t="n">
        <f aca="false">VLOOKUP($A$4:$A$30,'[6]Anexo III- Qde Prof_Empr_RRT'!$A$5:$X$37,21,)</f>
        <v>38.1750465549348</v>
      </c>
      <c r="AB19" s="328" t="n">
        <f aca="false">VLOOKUP($A$4:$A$30,'[6]Anexo III- Qde Prof_Empr_RRT'!$A$5:$X$37,24,)</f>
        <v>18275</v>
      </c>
      <c r="AD19" s="296" t="n">
        <v>0</v>
      </c>
      <c r="AF19" s="296" t="n">
        <f aca="false">VLOOKUP($A$4:$A$30,'[7]Demonstrativos 2020'!$A$6:$Y$32,25,)</f>
        <v>781387.4</v>
      </c>
      <c r="AG19" s="296"/>
      <c r="AH19" s="298" t="n">
        <v>9674793</v>
      </c>
      <c r="AJ19" s="343" t="s">
        <v>628</v>
      </c>
      <c r="AK19" s="344" t="e">
        <f aca="false">VLOOKUP($AK$2,'Diretrizes - Resumo'!$A$4:$AB$30,23,)</f>
        <v>#REF!</v>
      </c>
      <c r="AR19" s="332"/>
    </row>
    <row r="20" customFormat="false" ht="16" hidden="false" customHeight="false" outlineLevel="0" collapsed="false">
      <c r="A20" s="300" t="s">
        <v>576</v>
      </c>
      <c r="B20" s="295" t="n">
        <f aca="false">VLOOKUP($A$4:$A$30,'[5]Anexo V-Resumo Valor 80% '!$A$4:$Q$36,5,)</f>
        <v>441365.216</v>
      </c>
      <c r="C20" s="295" t="n">
        <f aca="false">VLOOKUP($A$4:$A$30,'[5]Anexo V-Resumo Valor 80% '!$A$4:$Q$36,6,)</f>
        <v>55796.368</v>
      </c>
      <c r="D20" s="295" t="n">
        <f aca="false">B20+C20</f>
        <v>497161.584</v>
      </c>
      <c r="E20" s="295" t="n">
        <f aca="false">VLOOKUP($A$4:$A$30,'[5]Anexo V-Resumo Valor 80% '!$A$4:$Q$36,11,)</f>
        <v>58238.896</v>
      </c>
      <c r="F20" s="295" t="n">
        <f aca="false">VLOOKUP($A$4:$A$30,'[5]Anexo V-Resumo Valor 80% '!$A$4:$Q$36,12,)</f>
        <v>10494.816</v>
      </c>
      <c r="G20" s="295" t="n">
        <f aca="false">E20+F20</f>
        <v>68733.712</v>
      </c>
      <c r="H20" s="295" t="n">
        <f aca="false">VLOOKUP($A$4:$A$30,'[5]Anexo V-Resumo Valor 80% '!$A$4:$Q$36,15,)</f>
        <v>415430.03</v>
      </c>
      <c r="I20" s="295" t="n">
        <f aca="false">VLOOKUP($A$4:$A$30,'[5]Anexo V-Resumo Valor 80% '!$A$4:$Q$36,17,)</f>
        <v>44159.64</v>
      </c>
      <c r="J20" s="326" t="n">
        <f aca="false">I20+H20+G20+D20</f>
        <v>1025484.966</v>
      </c>
      <c r="K20" s="327" t="n">
        <f aca="false">J20-VLOOKUP($A$4:$A$30,'[5]Anexo V-Resumo Valor 80% '!$A$4:$S$36,19,)</f>
        <v>0</v>
      </c>
      <c r="L20" s="295" t="n">
        <f aca="false">VLOOKUP($A$4:$A$30,'[6]Anexo VI.I-Aporte do FA'!$A$4:$C$33,3,)</f>
        <v>18707.9091055836</v>
      </c>
      <c r="M20" s="295" t="n">
        <f aca="false">VLOOKUP($A$4:$A$30,'[6]Anexo VI-Repasse Fundo de Apoio'!$A$4:$G$16,7,)</f>
        <v>16840</v>
      </c>
      <c r="N20" s="295" t="n">
        <f aca="false">VLOOKUP($A$4:$A$30,'[6]Anexo VI-Repasse Fundo de Apoio'!$A$4:$H$16,8,)</f>
        <v>323635.378336572</v>
      </c>
      <c r="P20" s="295" t="n">
        <f aca="false">VLOOKUP($A$4:$A$30,'[6]Anexo VII- CSC - SERV.'!$A$4:$D$37,4,)</f>
        <v>80242.41</v>
      </c>
      <c r="Q20" s="295" t="n">
        <f aca="false">VLOOKUP($A$4:$A$30,'[6]Anexo VII- CSC - SERV.'!$A$4:$F$38,6,)-P20</f>
        <v>9280.73033657149</v>
      </c>
      <c r="R20" s="297" t="n">
        <f aca="false">VLOOKUP($A$4:$A$30,'[6]Anexo VII- CSC - SERV.'!$A$4:$F$38,6,)-(P20+Q20)</f>
        <v>0</v>
      </c>
      <c r="S20" s="295"/>
      <c r="U20" s="295" t="n">
        <f aca="false">VLOOKUP($A$4:$A$30,'[6] Anexo VIII-TARIFAS BANCÁRIAS'!$A$3:$D$35,4,)</f>
        <v>3293.319063736</v>
      </c>
      <c r="W20" s="328" t="n">
        <f aca="false">VLOOKUP($A$4:$A$30,'[6]Anexo III- Qde Prof_Empr_RRT'!$A$5:$X$37,3,)</f>
        <v>1641</v>
      </c>
      <c r="X20" s="328" t="n">
        <f aca="false">VLOOKUP($A$4:$A$30,'[6]Anexo III- Qde Prof_Empr_RRT'!$A$5:$X$37,6,)</f>
        <v>1599</v>
      </c>
      <c r="Y20" s="329" t="n">
        <f aca="false">VLOOKUP($A$4:$A$30,'[6]Anexo III- Qde Prof_Empr_RRT'!$A$5:$X$37,12,)</f>
        <v>25.2032520325203</v>
      </c>
      <c r="Z20" s="328" t="n">
        <f aca="false">VLOOKUP($A$4:$A$30,'[6]Anexo III- Qde Prof_Empr_RRT'!$A$5:$X$37,15,)</f>
        <v>275</v>
      </c>
      <c r="AA20" s="329" t="n">
        <f aca="false">VLOOKUP($A$4:$A$30,'[6]Anexo III- Qde Prof_Empr_RRT'!$A$5:$X$37,21,)</f>
        <v>43.6363636363636</v>
      </c>
      <c r="AB20" s="328" t="n">
        <f aca="false">VLOOKUP($A$4:$A$30,'[6]Anexo III- Qde Prof_Empr_RRT'!$A$5:$X$37,24,)</f>
        <v>4798</v>
      </c>
      <c r="AD20" s="296" t="n">
        <v>0</v>
      </c>
      <c r="AF20" s="296" t="n">
        <f aca="false">VLOOKUP($A$4:$A$30,'[7]Demonstrativos 2020'!$A$6:$Y$32,25,)</f>
        <v>102180.46</v>
      </c>
      <c r="AG20" s="296"/>
      <c r="AH20" s="298" t="n">
        <v>3289290</v>
      </c>
      <c r="AJ20" s="343" t="s">
        <v>629</v>
      </c>
      <c r="AK20" s="344" t="e">
        <f aca="false">VLOOKUP($AK$2,'Diretrizes - Resumo'!$A$4:$AB$30,24,)</f>
        <v>#REF!</v>
      </c>
      <c r="AR20" s="332"/>
    </row>
    <row r="21" customFormat="false" ht="16" hidden="false" customHeight="false" outlineLevel="0" collapsed="false">
      <c r="A21" s="300" t="s">
        <v>7</v>
      </c>
      <c r="B21" s="295" t="n">
        <f aca="false">VLOOKUP($A$4:$A$30,'[5]Anexo V-Resumo Valor 80% '!$A$4:$Q$36,5,)</f>
        <v>3584729.552</v>
      </c>
      <c r="C21" s="295" t="n">
        <f aca="false">VLOOKUP($A$4:$A$30,'[5]Anexo V-Resumo Valor 80% '!$A$4:$Q$36,6,)</f>
        <v>483287.376</v>
      </c>
      <c r="D21" s="295" t="n">
        <f aca="false">B21+C21</f>
        <v>4068016.928</v>
      </c>
      <c r="E21" s="295" t="n">
        <f aca="false">VLOOKUP($A$4:$A$30,'[5]Anexo V-Resumo Valor 80% '!$A$4:$Q$36,11,)</f>
        <v>492594.6</v>
      </c>
      <c r="F21" s="295" t="n">
        <f aca="false">VLOOKUP($A$4:$A$30,'[5]Anexo V-Resumo Valor 80% '!$A$4:$Q$36,12,)</f>
        <v>130089.736</v>
      </c>
      <c r="G21" s="295" t="n">
        <f aca="false">E21+F21</f>
        <v>622684.336</v>
      </c>
      <c r="H21" s="295" t="n">
        <f aca="false">VLOOKUP($A$4:$A$30,'[5]Anexo V-Resumo Valor 80% '!$A$4:$Q$36,15,)</f>
        <v>6433970.46</v>
      </c>
      <c r="I21" s="295" t="n">
        <f aca="false">VLOOKUP($A$4:$A$30,'[5]Anexo V-Resumo Valor 80% '!$A$4:$Q$36,17,)</f>
        <v>444986.87</v>
      </c>
      <c r="J21" s="326" t="n">
        <f aca="false">I21+H21+G21+D21</f>
        <v>11569658.594</v>
      </c>
      <c r="K21" s="327" t="n">
        <f aca="false">J21-VLOOKUP($A$4:$A$30,'[5]Anexo V-Resumo Valor 80% '!$A$4:$S$36,19,)</f>
        <v>0</v>
      </c>
      <c r="L21" s="295" t="n">
        <f aca="false">VLOOKUP($A$4:$A$30,'[6]Anexo VI.I-Aporte do FA'!$A$4:$C$33,3,)</f>
        <v>211768.97709494</v>
      </c>
      <c r="M21" s="295"/>
      <c r="N21" s="295"/>
      <c r="P21" s="295" t="n">
        <f aca="false">VLOOKUP($A$4:$A$30,'[6]Anexo VII- CSC - SERV.'!$A$4:$D$37,4,)</f>
        <v>908324.56</v>
      </c>
      <c r="Q21" s="295" t="n">
        <f aca="false">VLOOKUP($A$4:$A$30,'[6]Anexo VII- CSC - SERV.'!$A$4:$F$38,6,)-P21</f>
        <v>109891.24211973</v>
      </c>
      <c r="R21" s="297" t="n">
        <f aca="false">VLOOKUP($A$4:$A$30,'[6]Anexo VII- CSC - SERV.'!$A$4:$F$38,6,)-(P21+Q21)</f>
        <v>0</v>
      </c>
      <c r="S21" s="295"/>
      <c r="U21" s="295" t="n">
        <f aca="false">VLOOKUP($A$4:$A$30,'[6] Anexo VIII-TARIFAS BANCÁRIAS'!$A$3:$D$35,4,)</f>
        <v>55576.003279602</v>
      </c>
      <c r="W21" s="328" t="n">
        <f aca="false">VLOOKUP($A$4:$A$30,'[6]Anexo III- Qde Prof_Empr_RRT'!$A$5:$X$37,3,)</f>
        <v>14181</v>
      </c>
      <c r="X21" s="328" t="n">
        <f aca="false">VLOOKUP($A$4:$A$30,'[6]Anexo III- Qde Prof_Empr_RRT'!$A$5:$X$37,6,)</f>
        <v>13769</v>
      </c>
      <c r="Y21" s="329" t="n">
        <f aca="false">VLOOKUP($A$4:$A$30,'[6]Anexo III- Qde Prof_Empr_RRT'!$A$5:$X$37,12,)</f>
        <v>30.6267702810662</v>
      </c>
      <c r="Z21" s="328" t="n">
        <f aca="false">VLOOKUP($A$4:$A$30,'[6]Anexo III- Qde Prof_Empr_RRT'!$A$5:$X$37,15,)</f>
        <v>2791</v>
      </c>
      <c r="AA21" s="329" t="n">
        <f aca="false">VLOOKUP($A$4:$A$30,'[6]Anexo III- Qde Prof_Empr_RRT'!$A$5:$X$37,21,)</f>
        <v>53.3142242923683</v>
      </c>
      <c r="AB21" s="328" t="n">
        <f aca="false">VLOOKUP($A$4:$A$30,'[6]Anexo III- Qde Prof_Empr_RRT'!$A$5:$X$37,24,)</f>
        <v>74309</v>
      </c>
      <c r="AD21" s="296" t="n">
        <v>0</v>
      </c>
      <c r="AF21" s="296" t="n">
        <f aca="false">VLOOKUP($A$4:$A$30,'[7]Demonstrativos 2020'!$A$6:$Y$32,25,)</f>
        <v>13878149.05</v>
      </c>
      <c r="AG21" s="296"/>
      <c r="AH21" s="298" t="n">
        <v>11597484</v>
      </c>
      <c r="AJ21" s="345" t="s">
        <v>630</v>
      </c>
      <c r="AK21" s="346" t="e">
        <f aca="false">VLOOKUP($AK$2,'Diretrizes - Resumo'!$A$4:$AB$30,25,)</f>
        <v>#REF!</v>
      </c>
      <c r="AR21" s="332"/>
    </row>
    <row r="22" customFormat="false" ht="16" hidden="false" customHeight="false" outlineLevel="0" collapsed="false">
      <c r="A22" s="300" t="s">
        <v>579</v>
      </c>
      <c r="B22" s="295" t="n">
        <f aca="false">VLOOKUP($A$4:$A$30,'[5]Anexo V-Resumo Valor 80% '!$A$4:$Q$36,5,)</f>
        <v>4637544.568</v>
      </c>
      <c r="C22" s="295" t="n">
        <f aca="false">VLOOKUP($A$4:$A$30,'[5]Anexo V-Resumo Valor 80% '!$A$4:$Q$36,6,)</f>
        <v>1377724.632</v>
      </c>
      <c r="D22" s="295" t="n">
        <f aca="false">B22+C22</f>
        <v>6015269.2</v>
      </c>
      <c r="E22" s="295" t="n">
        <f aca="false">VLOOKUP($A$4:$A$30,'[5]Anexo V-Resumo Valor 80% '!$A$4:$Q$36,11,)</f>
        <v>613813.024</v>
      </c>
      <c r="F22" s="295" t="n">
        <f aca="false">VLOOKUP($A$4:$A$30,'[5]Anexo V-Resumo Valor 80% '!$A$4:$Q$36,12,)</f>
        <v>307902.504</v>
      </c>
      <c r="G22" s="295" t="n">
        <f aca="false">E22+F22</f>
        <v>921715.528</v>
      </c>
      <c r="H22" s="295" t="n">
        <f aca="false">VLOOKUP($A$4:$A$30,'[5]Anexo V-Resumo Valor 80% '!$A$4:$Q$36,15,)</f>
        <v>5158328.38</v>
      </c>
      <c r="I22" s="295" t="n">
        <f aca="false">VLOOKUP($A$4:$A$30,'[5]Anexo V-Resumo Valor 80% '!$A$4:$Q$36,17,)</f>
        <v>665242.22</v>
      </c>
      <c r="J22" s="326" t="n">
        <f aca="false">I22+H22+G22+D22</f>
        <v>12760555.328</v>
      </c>
      <c r="K22" s="327" t="n">
        <f aca="false">J22-VLOOKUP($A$4:$A$30,'[5]Anexo V-Resumo Valor 80% '!$A$4:$S$36,19,)</f>
        <v>0</v>
      </c>
      <c r="L22" s="295" t="n">
        <f aca="false">VLOOKUP($A$4:$A$30,'[6]Anexo VI.I-Aporte do FA'!$A$4:$C$33,3,)</f>
        <v>225894.118301594</v>
      </c>
      <c r="M22" s="295"/>
      <c r="N22" s="295"/>
      <c r="P22" s="295" t="n">
        <f aca="false">VLOOKUP($A$4:$A$30,'[6]Anexo VII- CSC - SERV.'!$A$4:$D$37,4,)</f>
        <v>968910.45</v>
      </c>
      <c r="Q22" s="295" t="n">
        <f aca="false">VLOOKUP($A$4:$A$30,'[6]Anexo VII- CSC - SERV.'!$A$4:$F$38,6,)-P22</f>
        <v>127374.7882362</v>
      </c>
      <c r="R22" s="297" t="n">
        <f aca="false">VLOOKUP($A$4:$A$30,'[6]Anexo VII- CSC - SERV.'!$A$4:$F$38,6,)-(P22+Q22)</f>
        <v>0</v>
      </c>
      <c r="S22" s="295" t="n">
        <f aca="false">VLOOKUP($A$4:$A$30,'[6]Anexo VII.III- SISCAF'!$A$10:$C$28,3,)</f>
        <v>157897.529749452</v>
      </c>
      <c r="U22" s="295" t="n">
        <f aca="false">VLOOKUP($A$4:$A$30,'[6] Anexo VIII-TARIFAS BANCÁRIAS'!$A$3:$D$35,4,)</f>
        <v>38847.512405962</v>
      </c>
      <c r="W22" s="328" t="n">
        <f aca="false">VLOOKUP($A$4:$A$30,'[6]Anexo III- Qde Prof_Empr_RRT'!$A$5:$X$37,3,)</f>
        <v>21599.3333333333</v>
      </c>
      <c r="X22" s="328" t="n">
        <f aca="false">VLOOKUP($A$4:$A$30,'[6]Anexo III- Qde Prof_Empr_RRT'!$A$5:$X$37,6,)</f>
        <v>18095.3333333333</v>
      </c>
      <c r="Y22" s="329" t="n">
        <f aca="false">VLOOKUP($A$4:$A$30,'[6]Anexo III- Qde Prof_Empr_RRT'!$A$5:$X$37,12,)</f>
        <v>27.810116788859</v>
      </c>
      <c r="Z22" s="328" t="n">
        <f aca="false">VLOOKUP($A$4:$A$30,'[6]Anexo III- Qde Prof_Empr_RRT'!$A$5:$X$37,15,)</f>
        <v>2932</v>
      </c>
      <c r="AA22" s="329" t="n">
        <f aca="false">VLOOKUP($A$4:$A$30,'[6]Anexo III- Qde Prof_Empr_RRT'!$A$5:$X$37,21,)</f>
        <v>44.6111869031378</v>
      </c>
      <c r="AB22" s="328" t="n">
        <f aca="false">VLOOKUP($A$4:$A$30,'[6]Anexo III- Qde Prof_Empr_RRT'!$A$5:$X$37,24,)</f>
        <v>59576</v>
      </c>
      <c r="AD22" s="296" t="n">
        <v>0</v>
      </c>
      <c r="AF22" s="296" t="n">
        <v>5939954.91</v>
      </c>
      <c r="AG22" s="296"/>
      <c r="AH22" s="298" t="n">
        <v>17463349</v>
      </c>
      <c r="AJ22" s="330" t="s">
        <v>631</v>
      </c>
      <c r="AK22" s="344" t="e">
        <f aca="false">VLOOKUP($AK$2,'Diretrizes - Resumo'!$A$4:$AB$30,26,)</f>
        <v>#REF!</v>
      </c>
      <c r="AR22" s="332"/>
    </row>
    <row r="23" customFormat="false" ht="16" hidden="false" customHeight="false" outlineLevel="0" collapsed="false">
      <c r="A23" s="300" t="s">
        <v>581</v>
      </c>
      <c r="B23" s="295" t="n">
        <f aca="false">VLOOKUP($A$4:$A$30,'[5]Anexo V-Resumo Valor 80% '!$A$4:$Q$36,5,)</f>
        <v>713019</v>
      </c>
      <c r="C23" s="295" t="n">
        <f aca="false">VLOOKUP($A$4:$A$30,'[5]Anexo V-Resumo Valor 80% '!$A$4:$Q$36,6,)</f>
        <v>157137.488</v>
      </c>
      <c r="D23" s="295" t="n">
        <f aca="false">B23+C23</f>
        <v>870156.488</v>
      </c>
      <c r="E23" s="295" t="n">
        <f aca="false">VLOOKUP($A$4:$A$30,'[5]Anexo V-Resumo Valor 80% '!$A$4:$Q$36,11,)</f>
        <v>52927.456</v>
      </c>
      <c r="F23" s="295" t="n">
        <f aca="false">VLOOKUP($A$4:$A$30,'[5]Anexo V-Resumo Valor 80% '!$A$4:$Q$36,12,)</f>
        <v>39673.744</v>
      </c>
      <c r="G23" s="295" t="n">
        <f aca="false">E23+F23</f>
        <v>92601.2</v>
      </c>
      <c r="H23" s="295" t="n">
        <f aca="false">VLOOKUP($A$4:$A$30,'[5]Anexo V-Resumo Valor 80% '!$A$4:$Q$36,15,)</f>
        <v>877269.09</v>
      </c>
      <c r="I23" s="295" t="n">
        <f aca="false">VLOOKUP($A$4:$A$30,'[5]Anexo V-Resumo Valor 80% '!$A$4:$Q$36,17,)</f>
        <v>81554.3</v>
      </c>
      <c r="J23" s="326" t="n">
        <f aca="false">I23+H23+G23+D23</f>
        <v>1921581.078</v>
      </c>
      <c r="K23" s="327" t="n">
        <f aca="false">J23-VLOOKUP($A$4:$A$30,'[5]Anexo V-Resumo Valor 80% '!$A$4:$S$36,19,)</f>
        <v>0</v>
      </c>
      <c r="L23" s="295" t="n">
        <f aca="false">VLOOKUP($A$4:$A$30,'[6]Anexo VI.I-Aporte do FA'!$A$4:$C$33,3,)</f>
        <v>35226.7519406801</v>
      </c>
      <c r="M23" s="295"/>
      <c r="N23" s="295"/>
      <c r="P23" s="295" t="n">
        <f aca="false">VLOOKUP($A$4:$A$30,'[6]Anexo VII- CSC - SERV.'!$A$4:$D$37,4,)</f>
        <v>151095.43</v>
      </c>
      <c r="Q23" s="295" t="n">
        <f aca="false">VLOOKUP($A$4:$A$30,'[6]Anexo VII- CSC - SERV.'!$A$4:$F$38,6,)-P23</f>
        <v>18135.485503182</v>
      </c>
      <c r="R23" s="297" t="n">
        <f aca="false">VLOOKUP($A$4:$A$30,'[6]Anexo VII- CSC - SERV.'!$A$4:$F$38,6,)-(P23+Q23)</f>
        <v>0</v>
      </c>
      <c r="S23" s="295"/>
      <c r="U23" s="295" t="n">
        <f aca="false">VLOOKUP($A$4:$A$30,'[6] Anexo VIII-TARIFAS BANCÁRIAS'!$A$3:$D$35,4,)</f>
        <v>7447.428078506</v>
      </c>
      <c r="W23" s="328" t="n">
        <f aca="false">VLOOKUP($A$4:$A$30,'[6]Anexo III- Qde Prof_Empr_RRT'!$A$5:$X$37,3,)</f>
        <v>2816</v>
      </c>
      <c r="X23" s="328" t="n">
        <f aca="false">VLOOKUP($A$4:$A$30,'[6]Anexo III- Qde Prof_Empr_RRT'!$A$5:$X$37,6,)</f>
        <v>2736</v>
      </c>
      <c r="Y23" s="329" t="n">
        <f aca="false">VLOOKUP($A$4:$A$30,'[6]Anexo III- Qde Prof_Empr_RRT'!$A$5:$X$37,12,)</f>
        <v>30.7017543859649</v>
      </c>
      <c r="Z23" s="328" t="n">
        <f aca="false">VLOOKUP($A$4:$A$30,'[6]Anexo III- Qde Prof_Empr_RRT'!$A$5:$X$37,15,)</f>
        <v>316</v>
      </c>
      <c r="AA23" s="329" t="n">
        <f aca="false">VLOOKUP($A$4:$A$30,'[6]Anexo III- Qde Prof_Empr_RRT'!$A$5:$X$37,21,)</f>
        <v>55.6962025316456</v>
      </c>
      <c r="AB23" s="328" t="n">
        <f aca="false">VLOOKUP($A$4:$A$30,'[6]Anexo III- Qde Prof_Empr_RRT'!$A$5:$X$37,24,)</f>
        <v>10132</v>
      </c>
      <c r="AD23" s="296" t="n">
        <v>0</v>
      </c>
      <c r="AF23" s="296" t="n">
        <f aca="false">VLOOKUP($A$4:$A$30,'[7]Demonstrativos 2020'!$A$6:$Y$32,25,)</f>
        <v>1125992.78</v>
      </c>
      <c r="AG23" s="296"/>
      <c r="AH23" s="298" t="n">
        <v>3560903</v>
      </c>
      <c r="AJ23" s="330" t="s">
        <v>632</v>
      </c>
      <c r="AK23" s="346" t="e">
        <f aca="false">VLOOKUP($AK$2,'Diretrizes - Resumo'!$A$4:$AB$30,27,)</f>
        <v>#REF!</v>
      </c>
      <c r="AR23" s="332"/>
    </row>
    <row r="24" customFormat="false" ht="16" hidden="false" customHeight="false" outlineLevel="0" collapsed="false">
      <c r="A24" s="300" t="s">
        <v>583</v>
      </c>
      <c r="B24" s="295" t="n">
        <f aca="false">VLOOKUP($A$4:$A$30,'[5]Anexo V-Resumo Valor 80% '!$A$4:$Q$36,5,)</f>
        <v>376617.672</v>
      </c>
      <c r="C24" s="295" t="n">
        <f aca="false">VLOOKUP($A$4:$A$30,'[5]Anexo V-Resumo Valor 80% '!$A$4:$Q$36,6,)</f>
        <v>50792.112</v>
      </c>
      <c r="D24" s="295" t="n">
        <f aca="false">B24+C24</f>
        <v>427409.784</v>
      </c>
      <c r="E24" s="295" t="n">
        <f aca="false">VLOOKUP($A$4:$A$30,'[5]Anexo V-Resumo Valor 80% '!$A$4:$Q$36,11,)</f>
        <v>41183.2</v>
      </c>
      <c r="F24" s="295" t="n">
        <f aca="false">VLOOKUP($A$4:$A$30,'[5]Anexo V-Resumo Valor 80% '!$A$4:$Q$36,12,)</f>
        <v>14584.256</v>
      </c>
      <c r="G24" s="295" t="n">
        <f aca="false">E24+F24</f>
        <v>55767.456</v>
      </c>
      <c r="H24" s="295" t="n">
        <f aca="false">VLOOKUP($A$4:$A$30,'[5]Anexo V-Resumo Valor 80% '!$A$4:$Q$36,15,)</f>
        <v>953030.09</v>
      </c>
      <c r="I24" s="295" t="n">
        <f aca="false">VLOOKUP($A$4:$A$30,'[5]Anexo V-Resumo Valor 80% '!$A$4:$Q$36,17,)</f>
        <v>64629.33</v>
      </c>
      <c r="J24" s="326" t="n">
        <f aca="false">I24+H24+G24+D24</f>
        <v>1500836.66</v>
      </c>
      <c r="K24" s="327" t="n">
        <f aca="false">J24-VLOOKUP($A$4:$A$30,'[5]Anexo V-Resumo Valor 80% '!$A$4:$S$36,19,)</f>
        <v>0</v>
      </c>
      <c r="L24" s="295" t="n">
        <f aca="false">VLOOKUP($A$4:$A$30,'[6]Anexo VI.I-Aporte do FA'!$A$4:$C$33,3,)</f>
        <v>27471.4855182627</v>
      </c>
      <c r="M24" s="295"/>
      <c r="N24" s="295"/>
      <c r="P24" s="295" t="n">
        <f aca="false">VLOOKUP($A$4:$A$30,'[6]Anexo VII- CSC - SERV.'!$A$4:$D$37,4,)</f>
        <v>117831.35</v>
      </c>
      <c r="Q24" s="295" t="n">
        <f aca="false">VLOOKUP($A$4:$A$30,'[6]Anexo VII- CSC - SERV.'!$A$4:$F$38,6,)-P24</f>
        <v>13899.250191989</v>
      </c>
      <c r="R24" s="297" t="n">
        <f aca="false">VLOOKUP($A$4:$A$30,'[6]Anexo VII- CSC - SERV.'!$A$4:$F$38,6,)-(P24+Q24)</f>
        <v>0</v>
      </c>
      <c r="S24" s="295"/>
      <c r="U24" s="295" t="n">
        <f aca="false">'[6] Anexo VIII-TARIFAS BANCÁRIAS'!$D$7</f>
        <v>5793.131179134</v>
      </c>
      <c r="W24" s="328" t="n">
        <f aca="false">VLOOKUP($A$4:$A$30,'[6]Anexo III- Qde Prof_Empr_RRT'!$A$5:$X$37,3,)</f>
        <v>1461.8</v>
      </c>
      <c r="X24" s="328" t="n">
        <f aca="false">VLOOKUP($A$4:$A$30,'[6]Anexo III- Qde Prof_Empr_RRT'!$A$5:$X$37,6,)</f>
        <v>1442.8</v>
      </c>
      <c r="Y24" s="329" t="n">
        <f aca="false">VLOOKUP($A$4:$A$30,'[6]Anexo III- Qde Prof_Empr_RRT'!$A$5:$X$37,12,)</f>
        <v>28.6110341003604</v>
      </c>
      <c r="Z24" s="328" t="n">
        <f aca="false">VLOOKUP($A$4:$A$30,'[6]Anexo III- Qde Prof_Empr_RRT'!$A$5:$X$37,15,)</f>
        <v>241</v>
      </c>
      <c r="AA24" s="329" t="n">
        <f aca="false">VLOOKUP($A$4:$A$30,'[6]Anexo III- Qde Prof_Empr_RRT'!$A$5:$X$37,21,)</f>
        <v>54.7717842323651</v>
      </c>
      <c r="AB24" s="328" t="n">
        <f aca="false">VLOOKUP($A$4:$A$30,'[6]Anexo III- Qde Prof_Empr_RRT'!$A$5:$X$37,24,)</f>
        <v>11007</v>
      </c>
      <c r="AD24" s="296" t="n">
        <v>0</v>
      </c>
      <c r="AF24" s="296" t="n">
        <f aca="false">VLOOKUP($A$4:$A$30,'[7]Demonstrativos 2020'!$A$6:$Y$32,25,)</f>
        <v>1207427.89</v>
      </c>
      <c r="AG24" s="296"/>
      <c r="AH24" s="298" t="n">
        <v>1815278</v>
      </c>
      <c r="AJ24" s="345" t="s">
        <v>633</v>
      </c>
      <c r="AK24" s="344" t="e">
        <f aca="false">VLOOKUP($AK$2,'Diretrizes - Resumo'!$A$4:$AB$30,28,)</f>
        <v>#REF!</v>
      </c>
      <c r="AR24" s="332"/>
    </row>
    <row r="25" customFormat="false" ht="16" hidden="false" customHeight="false" outlineLevel="0" collapsed="false">
      <c r="A25" s="300" t="s">
        <v>584</v>
      </c>
      <c r="B25" s="295" t="n">
        <f aca="false">VLOOKUP($A$4:$A$30,'[5]Anexo V-Resumo Valor 80% '!$A$4:$Q$36,5,)</f>
        <v>58052.096</v>
      </c>
      <c r="C25" s="295" t="n">
        <f aca="false">VLOOKUP($A$4:$A$30,'[5]Anexo V-Resumo Valor 80% '!$A$4:$Q$36,6,)</f>
        <v>10597.968</v>
      </c>
      <c r="D25" s="295" t="n">
        <f aca="false">B25+C25</f>
        <v>68650.064</v>
      </c>
      <c r="E25" s="295" t="n">
        <f aca="false">VLOOKUP($A$4:$A$30,'[5]Anexo V-Resumo Valor 80% '!$A$4:$Q$36,11,)</f>
        <v>8061.864</v>
      </c>
      <c r="F25" s="295" t="n">
        <f aca="false">VLOOKUP($A$4:$A$30,'[5]Anexo V-Resumo Valor 80% '!$A$4:$Q$36,12,)</f>
        <v>4434.56</v>
      </c>
      <c r="G25" s="295" t="n">
        <f aca="false">E25+F25</f>
        <v>12496.424</v>
      </c>
      <c r="H25" s="295" t="n">
        <f aca="false">VLOOKUP($A$4:$A$30,'[5]Anexo V-Resumo Valor 80% '!$A$4:$Q$36,15,)</f>
        <v>109875.1</v>
      </c>
      <c r="I25" s="295" t="n">
        <f aca="false">VLOOKUP($A$4:$A$30,'[5]Anexo V-Resumo Valor 80% '!$A$4:$Q$36,17,)</f>
        <v>7640.86</v>
      </c>
      <c r="J25" s="326" t="n">
        <f aca="false">I25+H25+G25+D25</f>
        <v>198662.448</v>
      </c>
      <c r="K25" s="327" t="n">
        <f aca="false">J25-VLOOKUP($A$4:$A$30,'[5]Anexo V-Resumo Valor 80% '!$A$4:$S$36,19,)</f>
        <v>0</v>
      </c>
      <c r="L25" s="295" t="n">
        <f aca="false">VLOOKUP($A$4:$A$30,'[6]Anexo VI.I-Aporte do FA'!$A$4:$C$33,3,)</f>
        <v>3667.02313184405</v>
      </c>
      <c r="M25" s="295" t="n">
        <f aca="false">VLOOKUP($A$4:$A$30,'[6]Anexo VI-Repasse Fundo de Apoio'!$A$4:$G$16,7,)</f>
        <v>17640</v>
      </c>
      <c r="N25" s="295" t="n">
        <f aca="false">VLOOKUP($A$4:$A$30,'[6]Anexo VI-Repasse Fundo de Apoio'!$A$4:$H$16,8,)</f>
        <v>1027072.34348382</v>
      </c>
      <c r="P25" s="295" t="n">
        <f aca="false">VLOOKUP($A$4:$A$30,'[6]Anexo VII- CSC - SERV.'!$A$4:$D$37,4,)</f>
        <v>15728.68</v>
      </c>
      <c r="Q25" s="295" t="n">
        <f aca="false">VLOOKUP($A$4:$A$30,'[6]Anexo VII- CSC - SERV.'!$A$4:$F$38,6,)-P25</f>
        <v>1935.0334838187</v>
      </c>
      <c r="R25" s="297" t="n">
        <f aca="false">VLOOKUP($A$4:$A$30,'[6]Anexo VII- CSC - SERV.'!$A$4:$F$38,6,)-(P25+Q25)</f>
        <v>0</v>
      </c>
      <c r="S25" s="295"/>
      <c r="U25" s="295" t="n">
        <f aca="false">VLOOKUP($A$4:$A$30,'[6] Anexo VIII-TARIFAS BANCÁRIAS'!$A$3:$D$35,4,)</f>
        <v>735.73557525</v>
      </c>
      <c r="W25" s="328" t="n">
        <f aca="false">VLOOKUP($A$4:$A$30,'[6]Anexo III- Qde Prof_Empr_RRT'!$A$5:$X$37,3,)</f>
        <v>250</v>
      </c>
      <c r="X25" s="328" t="n">
        <f aca="false">VLOOKUP($A$4:$A$30,'[6]Anexo III- Qde Prof_Empr_RRT'!$A$5:$X$37,6,)</f>
        <v>241</v>
      </c>
      <c r="Y25" s="329" t="n">
        <f aca="false">VLOOKUP($A$4:$A$30,'[6]Anexo III- Qde Prof_Empr_RRT'!$A$5:$X$37,12,)</f>
        <v>35.2697095435685</v>
      </c>
      <c r="Z25" s="328" t="n">
        <f aca="false">VLOOKUP($A$4:$A$30,'[6]Anexo III- Qde Prof_Empr_RRT'!$A$5:$X$37,15,)</f>
        <v>64</v>
      </c>
      <c r="AA25" s="329" t="n">
        <f aca="false">VLOOKUP($A$4:$A$30,'[6]Anexo III- Qde Prof_Empr_RRT'!$A$5:$X$37,21,)</f>
        <v>65.625</v>
      </c>
      <c r="AB25" s="328" t="n">
        <f aca="false">VLOOKUP($A$4:$A$30,'[6]Anexo III- Qde Prof_Empr_RRT'!$A$5:$X$37,24,)</f>
        <v>1269</v>
      </c>
      <c r="AD25" s="296" t="n">
        <v>0</v>
      </c>
      <c r="AF25" s="296" t="n">
        <f aca="false">VLOOKUP($A$4:$A$30,'[7]Demonstrativos 2020'!$A$6:$Y$32,25,)</f>
        <v>245329.87</v>
      </c>
      <c r="AG25" s="296"/>
      <c r="AH25" s="298" t="n">
        <v>652713</v>
      </c>
      <c r="AR25" s="332"/>
    </row>
    <row r="26" customFormat="false" ht="16" hidden="false" customHeight="true" outlineLevel="0" collapsed="false">
      <c r="A26" s="300" t="s">
        <v>585</v>
      </c>
      <c r="B26" s="295" t="n">
        <f aca="false">VLOOKUP($A$4:$A$30,'[5]Anexo V-Resumo Valor 80% '!$A$4:$Q$36,5,)</f>
        <v>4734720.096</v>
      </c>
      <c r="C26" s="295" t="n">
        <f aca="false">VLOOKUP($A$4:$A$30,'[5]Anexo V-Resumo Valor 80% '!$A$4:$Q$36,6,)</f>
        <v>674682.096</v>
      </c>
      <c r="D26" s="295" t="n">
        <f aca="false">B26+C26</f>
        <v>5409402.192</v>
      </c>
      <c r="E26" s="295" t="n">
        <f aca="false">VLOOKUP($A$4:$A$30,'[5]Anexo V-Resumo Valor 80% '!$A$4:$Q$36,11,)</f>
        <v>608680.912</v>
      </c>
      <c r="F26" s="295" t="n">
        <f aca="false">VLOOKUP($A$4:$A$30,'[5]Anexo V-Resumo Valor 80% '!$A$4:$Q$36,12,)</f>
        <v>201265.528</v>
      </c>
      <c r="G26" s="295" t="n">
        <f aca="false">E26+F26</f>
        <v>809946.44</v>
      </c>
      <c r="H26" s="295" t="n">
        <f aca="false">VLOOKUP($A$4:$A$30,'[5]Anexo V-Resumo Valor 80% '!$A$4:$Q$36,15,)</f>
        <v>8176300.29</v>
      </c>
      <c r="I26" s="295" t="n">
        <f aca="false">VLOOKUP($A$4:$A$30,'[5]Anexo V-Resumo Valor 80% '!$A$4:$Q$36,17,)</f>
        <v>575825.96</v>
      </c>
      <c r="J26" s="326" t="n">
        <f aca="false">I26+H26+G26+D26</f>
        <v>14971474.882</v>
      </c>
      <c r="K26" s="327" t="n">
        <f aca="false">J26-VLOOKUP($A$4:$A$30,'[5]Anexo V-Resumo Valor 80% '!$A$4:$S$36,19,)</f>
        <v>0</v>
      </c>
      <c r="L26" s="295" t="n">
        <f aca="false">VLOOKUP($A$4:$A$30,'[6]Anexo VI.I-Aporte do FA'!$A$4:$C$33,3,)</f>
        <v>274444.307732308</v>
      </c>
      <c r="M26" s="295"/>
      <c r="N26" s="295"/>
      <c r="P26" s="295" t="n">
        <f aca="false">VLOOKUP($A$4:$A$30,'[6]Anexo VII- CSC - SERV.'!$A$4:$D$37,4,)</f>
        <v>1177153.08</v>
      </c>
      <c r="Q26" s="295" t="n">
        <f aca="false">VLOOKUP($A$4:$A$30,'[6]Anexo VII- CSC - SERV.'!$A$4:$F$38,6,)-P26</f>
        <v>140403.84228113</v>
      </c>
      <c r="R26" s="297" t="n">
        <f aca="false">VLOOKUP($A$4:$A$30,'[6]Anexo VII- CSC - SERV.'!$A$4:$F$38,6,)-(P26+Q26)</f>
        <v>0</v>
      </c>
      <c r="S26" s="295"/>
      <c r="U26" s="295" t="n">
        <f aca="false">VLOOKUP($A$4:$A$30,'[6] Anexo VIII-TARIFAS BANCÁRIAS'!$A$3:$D$35,4,)</f>
        <v>66194.068942066</v>
      </c>
      <c r="W26" s="328" t="n">
        <f aca="false">VLOOKUP($A$4:$A$30,'[6]Anexo III- Qde Prof_Empr_RRT'!$A$5:$X$37,3,)</f>
        <v>18041</v>
      </c>
      <c r="X26" s="328" t="n">
        <f aca="false">VLOOKUP($A$4:$A$30,'[6]Anexo III- Qde Prof_Empr_RRT'!$A$5:$X$37,6,)</f>
        <v>16889</v>
      </c>
      <c r="Y26" s="329" t="n">
        <f aca="false">VLOOKUP($A$4:$A$30,'[6]Anexo III- Qde Prof_Empr_RRT'!$A$5:$X$37,12,)</f>
        <v>24.4004973651489</v>
      </c>
      <c r="Z26" s="328" t="n">
        <f aca="false">VLOOKUP($A$4:$A$30,'[6]Anexo III- Qde Prof_Empr_RRT'!$A$5:$X$37,15,)</f>
        <v>2927</v>
      </c>
      <c r="AA26" s="329" t="n">
        <f aca="false">VLOOKUP($A$4:$A$30,'[6]Anexo III- Qde Prof_Empr_RRT'!$A$5:$X$37,21,)</f>
        <v>44.9948752989409</v>
      </c>
      <c r="AB26" s="328" t="n">
        <f aca="false">VLOOKUP($A$4:$A$30,'[6]Anexo III- Qde Prof_Empr_RRT'!$A$5:$X$37,24,)</f>
        <v>94432</v>
      </c>
      <c r="AD26" s="296" t="n">
        <v>0</v>
      </c>
      <c r="AF26" s="296" t="n">
        <f aca="false">VLOOKUP($A$4:$A$30,'[7]Demonstrativos 2020'!$A$6:$Y$32,25,)</f>
        <v>18607318.913</v>
      </c>
      <c r="AG26" s="296"/>
      <c r="AH26" s="298" t="n">
        <v>11466630</v>
      </c>
      <c r="AJ26" s="314" t="s">
        <v>634</v>
      </c>
      <c r="AK26" s="314"/>
      <c r="AR26" s="332"/>
    </row>
    <row r="27" customFormat="false" ht="16" hidden="false" customHeight="false" outlineLevel="0" collapsed="false">
      <c r="A27" s="300" t="s">
        <v>586</v>
      </c>
      <c r="B27" s="295" t="n">
        <f aca="false">VLOOKUP($A$4:$A$30,'[5]Anexo V-Resumo Valor 80% '!$A$4:$Q$36,5,)</f>
        <v>3476552.376</v>
      </c>
      <c r="C27" s="295" t="n">
        <f aca="false">VLOOKUP($A$4:$A$30,'[5]Anexo V-Resumo Valor 80% '!$A$4:$Q$36,6,)</f>
        <v>455971.648</v>
      </c>
      <c r="D27" s="295" t="n">
        <f aca="false">B27+C27</f>
        <v>3932524.024</v>
      </c>
      <c r="E27" s="295" t="n">
        <f aca="false">VLOOKUP($A$4:$A$30,'[5]Anexo V-Resumo Valor 80% '!$A$4:$Q$36,11,)</f>
        <v>386045.136</v>
      </c>
      <c r="F27" s="295" t="n">
        <f aca="false">VLOOKUP($A$4:$A$30,'[5]Anexo V-Resumo Valor 80% '!$A$4:$Q$36,12,)</f>
        <v>92983.784</v>
      </c>
      <c r="G27" s="295" t="n">
        <f aca="false">E27+F27</f>
        <v>479028.92</v>
      </c>
      <c r="H27" s="295" t="n">
        <f aca="false">VLOOKUP($A$4:$A$30,'[5]Anexo V-Resumo Valor 80% '!$A$4:$Q$36,15,)</f>
        <v>5290282.4</v>
      </c>
      <c r="I27" s="295" t="n">
        <f aca="false">VLOOKUP($A$4:$A$30,'[5]Anexo V-Resumo Valor 80% '!$A$4:$Q$36,17,)</f>
        <v>291055.06</v>
      </c>
      <c r="J27" s="326" t="n">
        <f aca="false">I27+H27+G27+D27</f>
        <v>9992890.404</v>
      </c>
      <c r="K27" s="327" t="n">
        <f aca="false">J27-VLOOKUP($A$4:$A$30,'[5]Anexo V-Resumo Valor 80% '!$A$4:$S$36,19,)</f>
        <v>0</v>
      </c>
      <c r="L27" s="295" t="n">
        <f aca="false">VLOOKUP($A$4:$A$30,'[6]Anexo VI.I-Aporte do FA'!$A$4:$C$33,3,)</f>
        <v>182436.802671118</v>
      </c>
      <c r="M27" s="295"/>
      <c r="N27" s="295"/>
      <c r="P27" s="295" t="n">
        <f aca="false">VLOOKUP($A$4:$A$30,'[6]Anexo VII- CSC - SERV.'!$A$4:$D$37,4,)</f>
        <v>782512.29</v>
      </c>
      <c r="Q27" s="295" t="n">
        <f aca="false">VLOOKUP($A$4:$A$30,'[6]Anexo VII- CSC - SERV.'!$A$4:$F$38,6,)-P27</f>
        <v>93809.697409306</v>
      </c>
      <c r="R27" s="297" t="n">
        <f aca="false">VLOOKUP($A$4:$A$30,'[6]Anexo VII- CSC - SERV.'!$A$4:$F$38,6,)-(P27+Q27)</f>
        <v>0</v>
      </c>
      <c r="S27" s="295"/>
      <c r="U27" s="295" t="n">
        <f aca="false">VLOOKUP($A$4:$A$30,'[6] Anexo VIII-TARIFAS BANCÁRIAS'!$A$3:$D$35,4,)</f>
        <v>41160.619951984</v>
      </c>
      <c r="W27" s="328" t="n">
        <f aca="false">VLOOKUP($A$4:$A$30,'[6]Anexo III- Qde Prof_Empr_RRT'!$A$5:$X$37,3,)</f>
        <v>11914</v>
      </c>
      <c r="X27" s="328" t="n">
        <f aca="false">VLOOKUP($A$4:$A$30,'[6]Anexo III- Qde Prof_Empr_RRT'!$A$5:$X$37,6,)</f>
        <v>11626</v>
      </c>
      <c r="Y27" s="329" t="n">
        <f aca="false">VLOOKUP($A$4:$A$30,'[6]Anexo III- Qde Prof_Empr_RRT'!$A$5:$X$37,12,)</f>
        <v>21.5465336315156</v>
      </c>
      <c r="Z27" s="328" t="n">
        <f aca="false">VLOOKUP($A$4:$A$30,'[6]Anexo III- Qde Prof_Empr_RRT'!$A$5:$X$37,15,)</f>
        <v>1905</v>
      </c>
      <c r="AA27" s="329" t="n">
        <f aca="false">VLOOKUP($A$4:$A$30,'[6]Anexo III- Qde Prof_Empr_RRT'!$A$5:$X$37,21,)</f>
        <v>46.3517060367454</v>
      </c>
      <c r="AB27" s="328" t="n">
        <f aca="false">VLOOKUP($A$4:$A$30,'[6]Anexo III- Qde Prof_Empr_RRT'!$A$5:$X$37,24,)</f>
        <v>61100</v>
      </c>
      <c r="AD27" s="296" t="n">
        <v>0</v>
      </c>
      <c r="AF27" s="296" t="n">
        <f aca="false">VLOOKUP($A$4:$A$30,'[7]Demonstrativos 2020'!$A$6:$Y$32,25,)</f>
        <v>8692538.48</v>
      </c>
      <c r="AG27" s="296"/>
      <c r="AH27" s="298" t="n">
        <v>7338473</v>
      </c>
      <c r="AJ27" s="334" t="s">
        <v>635</v>
      </c>
      <c r="AK27" s="344" t="e">
        <f aca="false">VLOOKUP($AK$2,A4:AH30,34,)</f>
        <v>#REF!</v>
      </c>
      <c r="AR27" s="332"/>
    </row>
    <row r="28" s="347" customFormat="true" ht="16" hidden="false" customHeight="false" outlineLevel="0" collapsed="false">
      <c r="A28" s="300" t="s">
        <v>587</v>
      </c>
      <c r="B28" s="295" t="n">
        <f aca="false">VLOOKUP($A$4:$A$30,'[5]Anexo V-Resumo Valor 80% '!$A$4:$Q$36,5,)</f>
        <v>435012.928</v>
      </c>
      <c r="C28" s="295" t="n">
        <f aca="false">VLOOKUP($A$4:$A$30,'[5]Anexo V-Resumo Valor 80% '!$A$4:$Q$36,6,)</f>
        <v>67014.96</v>
      </c>
      <c r="D28" s="295" t="n">
        <f aca="false">B28+C28</f>
        <v>502027.888</v>
      </c>
      <c r="E28" s="295" t="n">
        <f aca="false">VLOOKUP($A$4:$A$30,'[5]Anexo V-Resumo Valor 80% '!$A$4:$Q$36,11,)</f>
        <v>38758.576</v>
      </c>
      <c r="F28" s="295" t="n">
        <f aca="false">VLOOKUP($A$4:$A$30,'[5]Anexo V-Resumo Valor 80% '!$A$4:$Q$36,12,)</f>
        <v>12640.256</v>
      </c>
      <c r="G28" s="295" t="n">
        <f aca="false">E28+F28</f>
        <v>51398.832</v>
      </c>
      <c r="H28" s="295" t="n">
        <f aca="false">VLOOKUP($A$4:$A$30,'[5]Anexo V-Resumo Valor 80% '!$A$4:$Q$36,15,)</f>
        <v>585134.67</v>
      </c>
      <c r="I28" s="295" t="n">
        <f aca="false">VLOOKUP($A$4:$A$30,'[5]Anexo V-Resumo Valor 80% '!$A$4:$Q$36,17,)</f>
        <v>49948.9</v>
      </c>
      <c r="J28" s="326" t="n">
        <f aca="false">I28+H28+G28+D28</f>
        <v>1188510.29</v>
      </c>
      <c r="K28" s="327" t="n">
        <f aca="false">J28-VLOOKUP($A$4:$A$30,'[5]Anexo V-Resumo Valor 80% '!$A$4:$S$36,19,)</f>
        <v>0</v>
      </c>
      <c r="L28" s="295" t="n">
        <f aca="false">VLOOKUP($A$4:$A$30,'[6]Anexo VI.I-Aporte do FA'!$A$4:$C$33,3,)</f>
        <v>21682.3280476673</v>
      </c>
      <c r="M28" s="295" t="n">
        <f aca="false">VLOOKUP($A$4:$A$30,'[6]Anexo VI-Repasse Fundo de Apoio'!$A$4:$G$16,7,)</f>
        <v>14440</v>
      </c>
      <c r="N28" s="295" t="n">
        <f aca="false">VLOOKUP($A$4:$A$30,'[6]Anexo VI-Repasse Fundo de Apoio'!$A$4:$H$16,8,)</f>
        <v>172875.393473858</v>
      </c>
      <c r="O28" s="296"/>
      <c r="P28" s="295" t="n">
        <f aca="false">VLOOKUP($A$4:$A$30,'[6]Anexo VII- CSC - SERV.'!$A$4:$D$37,4,)</f>
        <v>93000.36</v>
      </c>
      <c r="Q28" s="295" t="n">
        <f aca="false">VLOOKUP($A$4:$A$30,'[6]Anexo VII- CSC - SERV.'!$A$4:$F$38,6,)-P28</f>
        <v>11151.627473858</v>
      </c>
      <c r="R28" s="297" t="n">
        <f aca="false">VLOOKUP($A$4:$A$30,'[6]Anexo VII- CSC - SERV.'!$A$4:$F$38,6,)-(P28+Q28)</f>
        <v>0</v>
      </c>
      <c r="S28" s="295" t="n">
        <f aca="false">VLOOKUP($A$4:$A$30,'[6]Anexo VII.III- SISCAF'!$A$10:$C$28,3,)</f>
        <v>8095.18418453336</v>
      </c>
      <c r="T28" s="296"/>
      <c r="U28" s="295" t="n">
        <f aca="false">VLOOKUP($A$4:$A$30,'[6] Anexo VIII-TARIFAS BANCÁRIAS'!$A$3:$D$35,4,)</f>
        <v>4426.781576828</v>
      </c>
      <c r="V28" s="296"/>
      <c r="W28" s="328" t="n">
        <f aca="false">VLOOKUP($A$4:$A$30,'[6]Anexo III- Qde Prof_Empr_RRT'!$A$5:$X$37,3,)</f>
        <v>1633</v>
      </c>
      <c r="X28" s="328" t="n">
        <f aca="false">VLOOKUP($A$4:$A$30,'[6]Anexo III- Qde Prof_Empr_RRT'!$A$5:$X$37,6,)</f>
        <v>1599</v>
      </c>
      <c r="Y28" s="329" t="n">
        <f aca="false">VLOOKUP($A$4:$A$30,'[6]Anexo III- Qde Prof_Empr_RRT'!$A$5:$X$37,12,)</f>
        <v>28.6429018136335</v>
      </c>
      <c r="Z28" s="328" t="n">
        <f aca="false">VLOOKUP($A$4:$A$30,'[6]Anexo III- Qde Prof_Empr_RRT'!$A$5:$X$37,15,)</f>
        <v>172</v>
      </c>
      <c r="AA28" s="329" t="n">
        <f aca="false">VLOOKUP($A$4:$A$30,'[6]Anexo III- Qde Prof_Empr_RRT'!$A$5:$X$37,21,)</f>
        <v>40.6976744186047</v>
      </c>
      <c r="AB28" s="328" t="n">
        <f aca="false">VLOOKUP($A$4:$A$30,'[6]Anexo III- Qde Prof_Empr_RRT'!$A$5:$X$37,24,)</f>
        <v>6758</v>
      </c>
      <c r="AC28" s="0"/>
      <c r="AD28" s="296" t="n">
        <v>0</v>
      </c>
      <c r="AE28" s="0"/>
      <c r="AF28" s="296" t="n">
        <f aca="false">VLOOKUP($A$4:$A$30,'[7]Demonstrativos 2020'!$A$6:$Y$32,25,)</f>
        <v>778556.55</v>
      </c>
      <c r="AG28" s="296"/>
      <c r="AH28" s="298" t="n">
        <v>2338474</v>
      </c>
      <c r="AM28" s="348"/>
      <c r="AR28" s="332"/>
    </row>
    <row r="29" customFormat="false" ht="16" hidden="false" customHeight="false" outlineLevel="0" collapsed="false">
      <c r="A29" s="300" t="s">
        <v>588</v>
      </c>
      <c r="B29" s="295" t="n">
        <f aca="false">VLOOKUP($A$4:$A$30,'[5]Anexo V-Resumo Valor 80% '!$A$4:$Q$36,5,)</f>
        <v>17642934.056</v>
      </c>
      <c r="C29" s="295" t="n">
        <f aca="false">VLOOKUP($A$4:$A$30,'[5]Anexo V-Resumo Valor 80% '!$A$4:$Q$36,6,)</f>
        <v>3147567.4</v>
      </c>
      <c r="D29" s="295" t="n">
        <f aca="false">B29+C29</f>
        <v>20790501.456</v>
      </c>
      <c r="E29" s="295" t="n">
        <f aca="false">VLOOKUP($A$4:$A$30,'[5]Anexo V-Resumo Valor 80% '!$A$4:$Q$36,11,)</f>
        <v>1729808.008</v>
      </c>
      <c r="F29" s="295" t="n">
        <f aca="false">VLOOKUP($A$4:$A$30,'[5]Anexo V-Resumo Valor 80% '!$A$4:$Q$36,12,)</f>
        <v>422009.976</v>
      </c>
      <c r="G29" s="295" t="n">
        <f aca="false">E29+F29</f>
        <v>2151817.984</v>
      </c>
      <c r="H29" s="295" t="n">
        <f aca="false">VLOOKUP($A$4:$A$30,'[5]Anexo V-Resumo Valor 80% '!$A$4:$Q$36,15,)</f>
        <v>30198334.6</v>
      </c>
      <c r="I29" s="295" t="n">
        <f aca="false">VLOOKUP($A$4:$A$30,'[5]Anexo V-Resumo Valor 80% '!$A$4:$Q$36,17,)</f>
        <v>1700500.93</v>
      </c>
      <c r="J29" s="326" t="n">
        <f aca="false">I29+H29+G29+D29</f>
        <v>54841154.97</v>
      </c>
      <c r="K29" s="327" t="n">
        <f aca="false">J29-VLOOKUP($A$4:$A$30,'[5]Anexo V-Resumo Valor 80% '!$A$4:$S$36,19,)</f>
        <v>0</v>
      </c>
      <c r="L29" s="295" t="n">
        <f aca="false">VLOOKUP($A$4:$A$30,'[6]Anexo VI.I-Aporte do FA'!$A$4:$C$33,3,)</f>
        <v>997466.66956339</v>
      </c>
      <c r="M29" s="295"/>
      <c r="N29" s="295"/>
      <c r="P29" s="295" t="n">
        <f aca="false">VLOOKUP($A$4:$A$30,'[6]Anexo VII- CSC - SERV.'!$A$4:$D$37,4,)</f>
        <v>4278357.87</v>
      </c>
      <c r="Q29" s="295" t="n">
        <f aca="false">VLOOKUP($A$4:$A$30,'[6]Anexo VII- CSC - SERV.'!$A$4:$F$38,6,)-P29</f>
        <v>535085.82804266</v>
      </c>
      <c r="R29" s="297" t="n">
        <f aca="false">VLOOKUP($A$4:$A$30,'[6]Anexo VII- CSC - SERV.'!$A$4:$F$38,6,)-(P29+Q29)</f>
        <v>0</v>
      </c>
      <c r="S29" s="295"/>
      <c r="U29" s="295" t="n">
        <f aca="false">VLOOKUP($A$4:$A$30,'[6] Anexo VIII-TARIFAS BANCÁRIAS'!$A$3:$D$35,4,)</f>
        <v>194251.699177926</v>
      </c>
      <c r="W29" s="328" t="n">
        <f aca="false">VLOOKUP($A$4:$A$30,'[6]Anexo III- Qde Prof_Empr_RRT'!$A$5:$X$37,3,)</f>
        <v>67388</v>
      </c>
      <c r="X29" s="328" t="n">
        <f aca="false">VLOOKUP($A$4:$A$30,'[6]Anexo III- Qde Prof_Empr_RRT'!$A$5:$X$37,6,)</f>
        <v>63009</v>
      </c>
      <c r="Y29" s="329" t="n">
        <f aca="false">VLOOKUP($A$4:$A$30,'[6]Anexo III- Qde Prof_Empr_RRT'!$A$5:$X$37,12,)</f>
        <v>25.9994603945468</v>
      </c>
      <c r="Z29" s="328" t="n">
        <f aca="false">VLOOKUP($A$4:$A$30,'[6]Anexo III- Qde Prof_Empr_RRT'!$A$5:$X$37,15,)</f>
        <v>8228</v>
      </c>
      <c r="AA29" s="329" t="n">
        <f aca="false">VLOOKUP($A$4:$A$30,'[6]Anexo III- Qde Prof_Empr_RRT'!$A$5:$X$37,21,)</f>
        <v>44.3850267379679</v>
      </c>
      <c r="AB29" s="328" t="n">
        <f aca="false">VLOOKUP($A$4:$A$30,'[6]Anexo III- Qde Prof_Empr_RRT'!$A$5:$X$37,24,)</f>
        <v>348775</v>
      </c>
      <c r="AD29" s="296" t="n">
        <v>0</v>
      </c>
      <c r="AF29" s="296" t="n">
        <f aca="false">VLOOKUP($A$4:$A$30,'[7]Demonstrativos 2020'!$A$6:$Y$32,25,)</f>
        <v>38768808.05</v>
      </c>
      <c r="AG29" s="296"/>
      <c r="AH29" s="298" t="n">
        <v>46649132</v>
      </c>
      <c r="AR29" s="332"/>
    </row>
    <row r="30" customFormat="false" ht="16" hidden="false" customHeight="false" outlineLevel="0" collapsed="false">
      <c r="A30" s="300" t="s">
        <v>589</v>
      </c>
      <c r="B30" s="295" t="n">
        <f aca="false">VLOOKUP($A$4:$A$30,'[5]Anexo V-Resumo Valor 80% '!$A$4:$Q$36,5,)</f>
        <v>233109.96</v>
      </c>
      <c r="C30" s="295" t="n">
        <f aca="false">VLOOKUP($A$4:$A$30,'[5]Anexo V-Resumo Valor 80% '!$A$4:$Q$36,6,)</f>
        <v>33368.248</v>
      </c>
      <c r="D30" s="295" t="n">
        <f aca="false">B30+C30</f>
        <v>266478.208</v>
      </c>
      <c r="E30" s="295" t="n">
        <f aca="false">VLOOKUP($A$4:$A$30,'[5]Anexo V-Resumo Valor 80% '!$A$4:$Q$36,11,)</f>
        <v>29739.488</v>
      </c>
      <c r="F30" s="295" t="n">
        <f aca="false">VLOOKUP($A$4:$A$30,'[5]Anexo V-Resumo Valor 80% '!$A$4:$Q$36,12,)</f>
        <v>15518.024</v>
      </c>
      <c r="G30" s="295" t="n">
        <f aca="false">E30+F30</f>
        <v>45257.512</v>
      </c>
      <c r="H30" s="295" t="n">
        <f aca="false">VLOOKUP($A$4:$A$30,'[5]Anexo V-Resumo Valor 80% '!$A$4:$Q$36,15,)</f>
        <v>478376.6</v>
      </c>
      <c r="I30" s="295" t="n">
        <f aca="false">VLOOKUP($A$4:$A$30,'[5]Anexo V-Resumo Valor 80% '!$A$4:$Q$36,17,)</f>
        <v>44505.71</v>
      </c>
      <c r="J30" s="326" t="n">
        <f aca="false">I30+H30+G30+D30</f>
        <v>834618.03</v>
      </c>
      <c r="K30" s="327" t="n">
        <f aca="false">J30-VLOOKUP($A$4:$A$30,'[5]Anexo V-Resumo Valor 80% '!$A$4:$S$36,19,)</f>
        <v>0</v>
      </c>
      <c r="L30" s="295" t="n">
        <f aca="false">VLOOKUP($A$4:$A$30,'[6]Anexo VI.I-Aporte do FA'!$A$4:$C$33,3,)</f>
        <v>15389.346166549</v>
      </c>
      <c r="M30" s="295" t="n">
        <f aca="false">VLOOKUP($A$4:$A$30,'[6]Anexo VI-Repasse Fundo de Apoio'!$A$4:$G$16,7,)</f>
        <v>12440</v>
      </c>
      <c r="N30" s="295" t="n">
        <f aca="false">VLOOKUP($A$4:$A$30,'[6]Anexo VI-Repasse Fundo de Apoio'!$A$4:$H$16,8,)</f>
        <v>435878.425321003</v>
      </c>
      <c r="P30" s="295" t="n">
        <f aca="false">VLOOKUP($A$4:$A$30,'[6]Anexo VII- CSC - SERV.'!$A$4:$D$37,4,)</f>
        <v>66008.35</v>
      </c>
      <c r="Q30" s="295" t="n">
        <f aca="false">VLOOKUP($A$4:$A$30,'[6]Anexo VII- CSC - SERV.'!$A$4:$F$38,6,)-P30</f>
        <v>8007.9933210031</v>
      </c>
      <c r="R30" s="297" t="n">
        <f aca="false">VLOOKUP($A$4:$A$30,'[6]Anexo VII- CSC - SERV.'!$A$4:$F$38,6,)-(P30+Q30)</f>
        <v>0</v>
      </c>
      <c r="S30" s="295" t="n">
        <f aca="false">VLOOKUP($A$4:$A$30,'[6]Anexo VII.III- SISCAF'!$A$10:$C$28,3,)</f>
        <v>5193.94566581191</v>
      </c>
      <c r="U30" s="295" t="n">
        <f aca="false">VLOOKUP($A$4:$A$30,'[6] Anexo VIII-TARIFAS BANCÁRIAS'!$A$3:$D$35,4,)</f>
        <v>3341.270606362</v>
      </c>
      <c r="W30" s="328" t="n">
        <f aca="false">VLOOKUP($A$4:$A$30,'[6]Anexo III- Qde Prof_Empr_RRT'!$A$5:$X$37,3,)</f>
        <v>873</v>
      </c>
      <c r="X30" s="328" t="n">
        <f aca="false">VLOOKUP($A$4:$A$30,'[6]Anexo III- Qde Prof_Empr_RRT'!$A$5:$X$37,6,)</f>
        <v>854</v>
      </c>
      <c r="Y30" s="329" t="n">
        <f aca="false">VLOOKUP($A$4:$A$30,'[6]Anexo III- Qde Prof_Empr_RRT'!$A$5:$X$37,12,)</f>
        <v>27.8688524590164</v>
      </c>
      <c r="Z30" s="328" t="n">
        <f aca="false">VLOOKUP($A$4:$A$30,'[6]Anexo III- Qde Prof_Empr_RRT'!$A$5:$X$37,15,)</f>
        <v>213</v>
      </c>
      <c r="AA30" s="329" t="n">
        <f aca="false">VLOOKUP($A$4:$A$30,'[6]Anexo III- Qde Prof_Empr_RRT'!$A$5:$X$37,21,)</f>
        <v>63.3802816901408</v>
      </c>
      <c r="AB30" s="328" t="n">
        <f aca="false">VLOOKUP($A$4:$A$30,'[6]Anexo III- Qde Prof_Empr_RRT'!$A$5:$X$37,24,)</f>
        <v>5525</v>
      </c>
      <c r="AD30" s="296" t="n">
        <v>0</v>
      </c>
      <c r="AF30" s="296" t="n">
        <f aca="false">VLOOKUP($A$4:$A$30,'[7]Demonstrativos 2020'!$A$6:$Y$32,25,)</f>
        <v>863875.25</v>
      </c>
      <c r="AG30" s="296"/>
      <c r="AH30" s="298" t="n">
        <v>1607363</v>
      </c>
      <c r="AR30" s="332"/>
    </row>
    <row r="31" customFormat="false" ht="15.5" hidden="false" customHeight="false" outlineLevel="0" collapsed="false">
      <c r="P31" s="349"/>
      <c r="Q31" s="349"/>
    </row>
    <row r="32" customFormat="false" ht="15.5" hidden="false" customHeight="false" outlineLevel="0" collapsed="false">
      <c r="A32" s="294" t="s">
        <v>636</v>
      </c>
      <c r="B32" s="328" t="n">
        <v>2</v>
      </c>
      <c r="C32" s="328" t="n">
        <f aca="false">B32+1</f>
        <v>3</v>
      </c>
      <c r="D32" s="328" t="n">
        <f aca="false">C32+1</f>
        <v>4</v>
      </c>
      <c r="E32" s="328" t="n">
        <f aca="false">D32+1</f>
        <v>5</v>
      </c>
      <c r="F32" s="328" t="n">
        <f aca="false">E32+1</f>
        <v>6</v>
      </c>
      <c r="G32" s="328" t="n">
        <f aca="false">F32+1</f>
        <v>7</v>
      </c>
      <c r="H32" s="328" t="n">
        <f aca="false">G32+1</f>
        <v>8</v>
      </c>
      <c r="I32" s="328" t="n">
        <f aca="false">H32+1</f>
        <v>9</v>
      </c>
      <c r="J32" s="328" t="n">
        <f aca="false">I32+1</f>
        <v>10</v>
      </c>
      <c r="K32" s="328" t="n">
        <f aca="false">J32+1</f>
        <v>11</v>
      </c>
      <c r="L32" s="328" t="n">
        <f aca="false">K32+1</f>
        <v>12</v>
      </c>
      <c r="M32" s="328" t="n">
        <f aca="false">L32+1</f>
        <v>13</v>
      </c>
      <c r="N32" s="328" t="n">
        <f aca="false">M32+1</f>
        <v>14</v>
      </c>
      <c r="O32" s="328" t="n">
        <f aca="false">N32+1</f>
        <v>15</v>
      </c>
      <c r="P32" s="328" t="n">
        <f aca="false">O32+1</f>
        <v>16</v>
      </c>
      <c r="Q32" s="328" t="n">
        <f aca="false">P32+1</f>
        <v>17</v>
      </c>
      <c r="R32" s="328" t="n">
        <f aca="false">Q32+1</f>
        <v>18</v>
      </c>
      <c r="S32" s="328" t="n">
        <f aca="false">R32+1</f>
        <v>19</v>
      </c>
      <c r="T32" s="328" t="n">
        <f aca="false">S32+1</f>
        <v>20</v>
      </c>
      <c r="U32" s="328" t="n">
        <f aca="false">T32+1</f>
        <v>21</v>
      </c>
      <c r="V32" s="328" t="n">
        <f aca="false">U32+1</f>
        <v>22</v>
      </c>
      <c r="W32" s="328" t="n">
        <f aca="false">V32+1</f>
        <v>23</v>
      </c>
      <c r="X32" s="328" t="n">
        <f aca="false">W32+1</f>
        <v>24</v>
      </c>
      <c r="Y32" s="328" t="n">
        <f aca="false">X32+1</f>
        <v>25</v>
      </c>
      <c r="Z32" s="328" t="n">
        <f aca="false">Y32+1</f>
        <v>26</v>
      </c>
      <c r="AA32" s="328" t="n">
        <f aca="false">Z32+1</f>
        <v>27</v>
      </c>
      <c r="AB32" s="328" t="n">
        <f aca="false">AA32+1</f>
        <v>28</v>
      </c>
      <c r="AC32" s="328" t="n">
        <f aca="false">AB32+1</f>
        <v>29</v>
      </c>
      <c r="AD32" s="328" t="n">
        <f aca="false">AC32+1</f>
        <v>30</v>
      </c>
      <c r="AE32" s="328" t="n">
        <f aca="false">AD32+1</f>
        <v>31</v>
      </c>
      <c r="AF32" s="328" t="n">
        <f aca="false">AE32+1</f>
        <v>32</v>
      </c>
      <c r="AG32" s="328" t="n">
        <f aca="false">AF32+1</f>
        <v>33</v>
      </c>
      <c r="AH32" s="328" t="n">
        <f aca="false">AG32+1</f>
        <v>34</v>
      </c>
    </row>
    <row r="33" customFormat="false" ht="15.5" hidden="true" customHeight="false" outlineLevel="0" collapsed="false">
      <c r="P33" s="350"/>
      <c r="Q33" s="350"/>
    </row>
    <row r="34" customFormat="false" ht="15.5" hidden="true" customHeight="false" outlineLevel="0" collapsed="false">
      <c r="P34" s="350"/>
      <c r="Q34" s="350"/>
    </row>
    <row r="35" customFormat="false" ht="15.5" hidden="true" customHeight="false" outlineLevel="0" collapsed="false">
      <c r="P35" s="350"/>
      <c r="Q35" s="350"/>
    </row>
    <row r="36" customFormat="false" ht="15.5" hidden="true" customHeight="false" outlineLevel="0" collapsed="false">
      <c r="P36" s="350"/>
      <c r="Q36" s="350"/>
    </row>
  </sheetData>
  <mergeCells count="20">
    <mergeCell ref="A1:A3"/>
    <mergeCell ref="B1:J1"/>
    <mergeCell ref="L1:N2"/>
    <mergeCell ref="P1:Q2"/>
    <mergeCell ref="S1:S2"/>
    <mergeCell ref="U1:U2"/>
    <mergeCell ref="W1:AB1"/>
    <mergeCell ref="B2:D2"/>
    <mergeCell ref="E2:G2"/>
    <mergeCell ref="H2:H3"/>
    <mergeCell ref="I2:I3"/>
    <mergeCell ref="J2:J3"/>
    <mergeCell ref="W2:Y2"/>
    <mergeCell ref="Z2:AA2"/>
    <mergeCell ref="AD2:AD3"/>
    <mergeCell ref="AF2:AF3"/>
    <mergeCell ref="AH2:AH3"/>
    <mergeCell ref="AM2:AN2"/>
    <mergeCell ref="AJ18:AK18"/>
    <mergeCell ref="AJ26:AK26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030A0"/>
    <pageSetUpPr fitToPage="false"/>
  </sheetPr>
  <dimension ref="A1:M2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7" activeCellId="0" sqref="H17"/>
    </sheetView>
  </sheetViews>
  <sheetFormatPr defaultColWidth="22.5703125" defaultRowHeight="22.5" zeroHeight="true" outlineLevelRow="0" outlineLevelCol="0"/>
  <cols>
    <col collapsed="false" customWidth="true" hidden="false" outlineLevel="0" max="1" min="1" style="351" width="16.54"/>
    <col collapsed="false" customWidth="true" hidden="false" outlineLevel="0" max="2" min="2" style="352" width="70.45"/>
    <col collapsed="false" customWidth="true" hidden="false" outlineLevel="0" max="3" min="3" style="352" width="8.45"/>
    <col collapsed="false" customWidth="true" hidden="false" outlineLevel="0" max="4" min="4" style="353" width="17.73"/>
    <col collapsed="false" customWidth="true" hidden="false" outlineLevel="0" max="5" min="5" style="352" width="8.18"/>
    <col collapsed="false" customWidth="true" hidden="false" outlineLevel="0" max="6" min="6" style="353" width="17.73"/>
    <col collapsed="false" customWidth="true" hidden="false" outlineLevel="0" max="7" min="7" style="352" width="8.45"/>
    <col collapsed="false" customWidth="true" hidden="false" outlineLevel="0" max="8" min="8" style="353" width="17.73"/>
    <col collapsed="false" customWidth="true" hidden="false" outlineLevel="0" max="9" min="9" style="352" width="8.45"/>
    <col collapsed="false" customWidth="true" hidden="false" outlineLevel="0" max="10" min="10" style="353" width="17.73"/>
    <col collapsed="false" customWidth="true" hidden="false" outlineLevel="0" max="11" min="11" style="352" width="12.27"/>
    <col collapsed="false" customWidth="true" hidden="false" outlineLevel="0" max="12" min="12" style="354" width="8.54"/>
    <col collapsed="false" customWidth="true" hidden="false" outlineLevel="0" max="13" min="13" style="355" width="130.72"/>
    <col collapsed="false" customWidth="true" hidden="true" outlineLevel="0" max="249" min="14" style="354" width="11.52"/>
    <col collapsed="false" customWidth="false" hidden="true" outlineLevel="0" max="1024" min="250" style="354" width="22.55"/>
  </cols>
  <sheetData>
    <row r="1" customFormat="false" ht="22.5" hidden="false" customHeight="true" outlineLevel="0" collapsed="false">
      <c r="A1" s="356" t="s">
        <v>637</v>
      </c>
      <c r="B1" s="356" t="s">
        <v>638</v>
      </c>
      <c r="C1" s="357" t="s">
        <v>639</v>
      </c>
      <c r="D1" s="357"/>
      <c r="E1" s="357" t="s">
        <v>640</v>
      </c>
      <c r="F1" s="357"/>
      <c r="G1" s="357" t="s">
        <v>641</v>
      </c>
      <c r="H1" s="357"/>
      <c r="I1" s="357" t="s">
        <v>642</v>
      </c>
      <c r="J1" s="357"/>
      <c r="K1" s="358" t="s">
        <v>643</v>
      </c>
      <c r="M1" s="359" t="s">
        <v>644</v>
      </c>
    </row>
    <row r="2" customFormat="false" ht="22.5" hidden="false" customHeight="false" outlineLevel="0" collapsed="false">
      <c r="A2" s="356"/>
      <c r="B2" s="356"/>
      <c r="C2" s="360" t="s">
        <v>645</v>
      </c>
      <c r="D2" s="361" t="s">
        <v>481</v>
      </c>
      <c r="E2" s="360" t="s">
        <v>645</v>
      </c>
      <c r="F2" s="361" t="s">
        <v>481</v>
      </c>
      <c r="G2" s="360" t="s">
        <v>645</v>
      </c>
      <c r="H2" s="361" t="s">
        <v>481</v>
      </c>
      <c r="I2" s="360" t="s">
        <v>645</v>
      </c>
      <c r="J2" s="361" t="s">
        <v>481</v>
      </c>
      <c r="K2" s="358"/>
      <c r="M2" s="359" t="s">
        <v>646</v>
      </c>
    </row>
    <row r="3" customFormat="false" ht="30.75" hidden="false" customHeight="true" outlineLevel="0" collapsed="false">
      <c r="A3" s="362" t="s">
        <v>647</v>
      </c>
      <c r="B3" s="363" t="s">
        <v>9</v>
      </c>
      <c r="C3" s="364" t="e">
        <f aca="false">COUNTIFS(#REF!,'Matriz de Obj. Estrat.'!$B3,#REF!,"P")</f>
        <v>#VALUE!</v>
      </c>
      <c r="D3" s="365" t="e">
        <f aca="false">SUMIFS(#REF!,#REF!,'Matriz de Obj. Estrat.'!$B3,#REF!,"P")</f>
        <v>#VALUE!</v>
      </c>
      <c r="E3" s="364" t="e">
        <f aca="false">COUNTIFS(#REF!,'Matriz de Obj. Estrat.'!$B3,#REF!,"PE")</f>
        <v>#VALUE!</v>
      </c>
      <c r="F3" s="365" t="e">
        <f aca="false">SUMIFS(#REF!,#REF!,'Matriz de Obj. Estrat.'!$B3,#REF!,"PE")</f>
        <v>#VALUE!</v>
      </c>
      <c r="G3" s="364" t="e">
        <f aca="false">COUNTIFS(#REF!,'Matriz de Obj. Estrat.'!$B3,#REF!,"A")</f>
        <v>#VALUE!</v>
      </c>
      <c r="H3" s="365" t="e">
        <f aca="false">SUMIFS(#REF!,#REF!,'Matriz de Obj. Estrat.'!$B3,#REF!,"A")</f>
        <v>#VALUE!</v>
      </c>
      <c r="I3" s="364" t="e">
        <f aca="false">C3+E3+G3</f>
        <v>#VALUE!</v>
      </c>
      <c r="J3" s="365" t="e">
        <f aca="false">D3+F3+H3</f>
        <v>#VALUE!</v>
      </c>
      <c r="K3" s="366" t="n">
        <f aca="false">IFERROR(J3/$J$19*100,0)</f>
        <v>0</v>
      </c>
      <c r="M3" s="355" t="s">
        <v>98</v>
      </c>
    </row>
    <row r="4" customFormat="false" ht="30.75" hidden="false" customHeight="true" outlineLevel="0" collapsed="false">
      <c r="A4" s="362"/>
      <c r="B4" s="363" t="s">
        <v>573</v>
      </c>
      <c r="C4" s="364" t="e">
        <f aca="false">COUNTIFS(#REF!,'Matriz de Obj. Estrat.'!$B4,#REF!,"P")</f>
        <v>#VALUE!</v>
      </c>
      <c r="D4" s="365" t="e">
        <f aca="false">SUMIFS(#REF!,#REF!,'Matriz de Obj. Estrat.'!$B4,#REF!,"P")</f>
        <v>#VALUE!</v>
      </c>
      <c r="E4" s="364" t="e">
        <f aca="false">COUNTIFS(#REF!,'Matriz de Obj. Estrat.'!$B4,#REF!,"PE")</f>
        <v>#VALUE!</v>
      </c>
      <c r="F4" s="365" t="e">
        <f aca="false">SUMIFS(#REF!,#REF!,'Matriz de Obj. Estrat.'!$B4,#REF!,"PE")</f>
        <v>#VALUE!</v>
      </c>
      <c r="G4" s="364" t="e">
        <f aca="false">COUNTIFS(#REF!,'Matriz de Obj. Estrat.'!$B4,#REF!,"A")</f>
        <v>#VALUE!</v>
      </c>
      <c r="H4" s="365" t="e">
        <f aca="false">SUMIFS(#REF!,#REF!,'Matriz de Obj. Estrat.'!$B4,#REF!,"A")</f>
        <v>#VALUE!</v>
      </c>
      <c r="I4" s="364" t="e">
        <f aca="false">C4+E4+G4</f>
        <v>#VALUE!</v>
      </c>
      <c r="J4" s="365" t="e">
        <f aca="false">D4+F4+H4</f>
        <v>#VALUE!</v>
      </c>
      <c r="K4" s="366" t="n">
        <f aca="false">IFERROR(J4/$J$19*100,0)</f>
        <v>0</v>
      </c>
      <c r="M4" s="355" t="s">
        <v>9</v>
      </c>
    </row>
    <row r="5" customFormat="false" ht="30.75" hidden="false" customHeight="true" outlineLevel="0" collapsed="false">
      <c r="A5" s="367" t="s">
        <v>648</v>
      </c>
      <c r="B5" s="363" t="s">
        <v>21</v>
      </c>
      <c r="C5" s="364" t="e">
        <f aca="false">COUNTIFS(#REF!,'Matriz de Obj. Estrat.'!$B5,#REF!,"P")</f>
        <v>#VALUE!</v>
      </c>
      <c r="D5" s="365" t="e">
        <f aca="false">SUMIFS(#REF!,#REF!,'Matriz de Obj. Estrat.'!$B5,#REF!,"P")</f>
        <v>#VALUE!</v>
      </c>
      <c r="E5" s="364" t="e">
        <f aca="false">COUNTIFS(#REF!,'Matriz de Obj. Estrat.'!$B5,#REF!,"PE")</f>
        <v>#VALUE!</v>
      </c>
      <c r="F5" s="365" t="e">
        <f aca="false">SUMIFS(#REF!,#REF!,'Matriz de Obj. Estrat.'!$B5,#REF!,"PE")</f>
        <v>#VALUE!</v>
      </c>
      <c r="G5" s="364" t="e">
        <f aca="false">COUNTIFS(#REF!,'Matriz de Obj. Estrat.'!$B5,#REF!,"A")</f>
        <v>#VALUE!</v>
      </c>
      <c r="H5" s="365" t="e">
        <f aca="false">SUMIFS(#REF!,#REF!,'Matriz de Obj. Estrat.'!$B5,#REF!,"A")</f>
        <v>#VALUE!</v>
      </c>
      <c r="I5" s="364" t="e">
        <f aca="false">C5+E5+G5</f>
        <v>#VALUE!</v>
      </c>
      <c r="J5" s="365" t="e">
        <f aca="false">D5+F5+H5</f>
        <v>#VALUE!</v>
      </c>
      <c r="K5" s="366" t="n">
        <f aca="false">IFERROR(J5/$J$19*100,0)</f>
        <v>0</v>
      </c>
      <c r="M5" s="355" t="s">
        <v>188</v>
      </c>
    </row>
    <row r="6" customFormat="false" ht="30.75" hidden="false" customHeight="true" outlineLevel="0" collapsed="false">
      <c r="A6" s="367"/>
      <c r="B6" s="363" t="s">
        <v>246</v>
      </c>
      <c r="C6" s="364" t="e">
        <f aca="false">COUNTIFS(#REF!,'Matriz de Obj. Estrat.'!$B6,#REF!,"P")</f>
        <v>#VALUE!</v>
      </c>
      <c r="D6" s="365" t="e">
        <f aca="false">SUMIFS(#REF!,#REF!,'Matriz de Obj. Estrat.'!$B6,#REF!,"P")</f>
        <v>#VALUE!</v>
      </c>
      <c r="E6" s="364" t="e">
        <f aca="false">COUNTIFS(#REF!,'Matriz de Obj. Estrat.'!$B6,#REF!,"PE")</f>
        <v>#VALUE!</v>
      </c>
      <c r="F6" s="365" t="e">
        <f aca="false">SUMIFS(#REF!,#REF!,'Matriz de Obj. Estrat.'!$B6,#REF!,"PE")</f>
        <v>#VALUE!</v>
      </c>
      <c r="G6" s="364" t="e">
        <f aca="false">COUNTIFS(#REF!,'Matriz de Obj. Estrat.'!$B6,#REF!,"A")</f>
        <v>#VALUE!</v>
      </c>
      <c r="H6" s="365" t="e">
        <f aca="false">SUMIFS(#REF!,#REF!,'Matriz de Obj. Estrat.'!$B6,#REF!,"A")</f>
        <v>#VALUE!</v>
      </c>
      <c r="I6" s="364" t="e">
        <f aca="false">C6+E6+G6</f>
        <v>#VALUE!</v>
      </c>
      <c r="J6" s="365" t="e">
        <f aca="false">D6+F6+H6</f>
        <v>#VALUE!</v>
      </c>
      <c r="K6" s="366" t="n">
        <f aca="false">IFERROR(J6/$J$19*100,0)</f>
        <v>0</v>
      </c>
    </row>
    <row r="7" customFormat="false" ht="30.75" hidden="false" customHeight="true" outlineLevel="0" collapsed="false">
      <c r="A7" s="367"/>
      <c r="B7" s="363" t="s">
        <v>65</v>
      </c>
      <c r="C7" s="364" t="e">
        <f aca="false">COUNTIFS(#REF!,'Matriz de Obj. Estrat.'!$B7,#REF!,"P")</f>
        <v>#VALUE!</v>
      </c>
      <c r="D7" s="365" t="e">
        <f aca="false">SUMIFS(#REF!,#REF!,'Matriz de Obj. Estrat.'!$B7,#REF!,"P")</f>
        <v>#VALUE!</v>
      </c>
      <c r="E7" s="364" t="e">
        <f aca="false">COUNTIFS(#REF!,'Matriz de Obj. Estrat.'!$B7,#REF!,"PE")</f>
        <v>#VALUE!</v>
      </c>
      <c r="F7" s="365" t="e">
        <f aca="false">SUMIFS(#REF!,#REF!,'Matriz de Obj. Estrat.'!$B7,#REF!,"PE")</f>
        <v>#VALUE!</v>
      </c>
      <c r="G7" s="364" t="e">
        <f aca="false">COUNTIFS(#REF!,'Matriz de Obj. Estrat.'!$B7,#REF!,"A")</f>
        <v>#VALUE!</v>
      </c>
      <c r="H7" s="365" t="e">
        <f aca="false">SUMIFS(#REF!,#REF!,'Matriz de Obj. Estrat.'!$B7,#REF!,"A")</f>
        <v>#VALUE!</v>
      </c>
      <c r="I7" s="364" t="e">
        <f aca="false">C7+E7+G7</f>
        <v>#VALUE!</v>
      </c>
      <c r="J7" s="365" t="e">
        <f aca="false">D7+F7+H7</f>
        <v>#VALUE!</v>
      </c>
      <c r="K7" s="366" t="n">
        <f aca="false">IFERROR(J7/$J$19*100,0)</f>
        <v>0</v>
      </c>
    </row>
    <row r="8" customFormat="false" ht="30.75" hidden="false" customHeight="true" outlineLevel="0" collapsed="false">
      <c r="A8" s="367"/>
      <c r="B8" s="363" t="s">
        <v>188</v>
      </c>
      <c r="C8" s="364" t="e">
        <f aca="false">COUNTIFS(#REF!,'Matriz de Obj. Estrat.'!$B8,#REF!,"P")</f>
        <v>#VALUE!</v>
      </c>
      <c r="D8" s="365" t="e">
        <f aca="false">SUMIFS(#REF!,#REF!,'Matriz de Obj. Estrat.'!$B8,#REF!,"P")</f>
        <v>#VALUE!</v>
      </c>
      <c r="E8" s="364" t="e">
        <f aca="false">COUNTIFS(#REF!,'Matriz de Obj. Estrat.'!$B8,#REF!,"PE")</f>
        <v>#VALUE!</v>
      </c>
      <c r="F8" s="365" t="e">
        <f aca="false">SUMIFS(#REF!,#REF!,'Matriz de Obj. Estrat.'!$B8,#REF!,"PE")</f>
        <v>#VALUE!</v>
      </c>
      <c r="G8" s="364" t="e">
        <f aca="false">COUNTIFS(#REF!,'Matriz de Obj. Estrat.'!$B8,#REF!,"A")</f>
        <v>#VALUE!</v>
      </c>
      <c r="H8" s="365" t="e">
        <f aca="false">SUMIFS(#REF!,#REF!,'Matriz de Obj. Estrat.'!$B8,#REF!,"A")</f>
        <v>#VALUE!</v>
      </c>
      <c r="I8" s="364" t="e">
        <f aca="false">C8+E8+G8</f>
        <v>#VALUE!</v>
      </c>
      <c r="J8" s="365" t="e">
        <f aca="false">D8+F8+H8</f>
        <v>#VALUE!</v>
      </c>
      <c r="K8" s="366" t="n">
        <f aca="false">IFERROR(J8/$J$19*100,0)</f>
        <v>0</v>
      </c>
    </row>
    <row r="9" customFormat="false" ht="30.75" hidden="false" customHeight="true" outlineLevel="0" collapsed="false">
      <c r="A9" s="367"/>
      <c r="B9" s="363" t="s">
        <v>343</v>
      </c>
      <c r="C9" s="364" t="e">
        <f aca="false">COUNTIFS(#REF!,'Matriz de Obj. Estrat.'!$B9,#REF!,"P")</f>
        <v>#VALUE!</v>
      </c>
      <c r="D9" s="365" t="e">
        <f aca="false">SUMIFS(#REF!,#REF!,'Matriz de Obj. Estrat.'!$B9,#REF!,"P")</f>
        <v>#VALUE!</v>
      </c>
      <c r="E9" s="364" t="e">
        <f aca="false">COUNTIFS(#REF!,'Matriz de Obj. Estrat.'!$B9,#REF!,"PE")</f>
        <v>#VALUE!</v>
      </c>
      <c r="F9" s="365" t="e">
        <f aca="false">SUMIFS(#REF!,#REF!,'Matriz de Obj. Estrat.'!$B9,#REF!,"PE")</f>
        <v>#VALUE!</v>
      </c>
      <c r="G9" s="364" t="e">
        <f aca="false">COUNTIFS(#REF!,'Matriz de Obj. Estrat.'!$B9,#REF!,"A")</f>
        <v>#VALUE!</v>
      </c>
      <c r="H9" s="365" t="e">
        <f aca="false">SUMIFS(#REF!,#REF!,'Matriz de Obj. Estrat.'!$B9,#REF!,"A")</f>
        <v>#VALUE!</v>
      </c>
      <c r="I9" s="364" t="e">
        <f aca="false">C9+E9+G9</f>
        <v>#VALUE!</v>
      </c>
      <c r="J9" s="365" t="e">
        <f aca="false">D9+F9+H9</f>
        <v>#VALUE!</v>
      </c>
      <c r="K9" s="366" t="n">
        <f aca="false">IFERROR(J9/$J$19*100,0)</f>
        <v>0</v>
      </c>
    </row>
    <row r="10" customFormat="false" ht="30.75" hidden="false" customHeight="true" outlineLevel="0" collapsed="false">
      <c r="A10" s="367"/>
      <c r="B10" s="363" t="s">
        <v>211</v>
      </c>
      <c r="C10" s="364" t="e">
        <f aca="false">COUNTIFS(#REF!,'Matriz de Obj. Estrat.'!$B10,#REF!,"P")</f>
        <v>#VALUE!</v>
      </c>
      <c r="D10" s="365" t="e">
        <f aca="false">SUMIFS(#REF!,#REF!,'Matriz de Obj. Estrat.'!$B10,#REF!,"P")</f>
        <v>#VALUE!</v>
      </c>
      <c r="E10" s="364" t="e">
        <f aca="false">COUNTIFS(#REF!,'Matriz de Obj. Estrat.'!$B10,#REF!,"PE")</f>
        <v>#VALUE!</v>
      </c>
      <c r="F10" s="365" t="e">
        <f aca="false">SUMIFS(#REF!,#REF!,'Matriz de Obj. Estrat.'!$B10,#REF!,"PE")</f>
        <v>#VALUE!</v>
      </c>
      <c r="G10" s="364" t="e">
        <f aca="false">COUNTIFS(#REF!,'Matriz de Obj. Estrat.'!$B10,#REF!,"A")</f>
        <v>#VALUE!</v>
      </c>
      <c r="H10" s="365" t="e">
        <f aca="false">SUMIFS(#REF!,#REF!,'Matriz de Obj. Estrat.'!$B10,#REF!,"A")</f>
        <v>#VALUE!</v>
      </c>
      <c r="I10" s="364" t="e">
        <f aca="false">C10+E10+G10</f>
        <v>#VALUE!</v>
      </c>
      <c r="J10" s="365" t="e">
        <f aca="false">D10+F10+H10</f>
        <v>#VALUE!</v>
      </c>
      <c r="K10" s="366" t="n">
        <f aca="false">IFERROR(J10/$J$19*100,0)</f>
        <v>0</v>
      </c>
    </row>
    <row r="11" customFormat="false" ht="30.75" hidden="false" customHeight="true" outlineLevel="0" collapsed="false">
      <c r="A11" s="367"/>
      <c r="B11" s="363" t="s">
        <v>86</v>
      </c>
      <c r="C11" s="364" t="e">
        <f aca="false">COUNTIFS(#REF!,'Matriz de Obj. Estrat.'!$B11,#REF!,"P")</f>
        <v>#VALUE!</v>
      </c>
      <c r="D11" s="365" t="e">
        <f aca="false">SUMIFS(#REF!,#REF!,'Matriz de Obj. Estrat.'!$B11,#REF!,"P")</f>
        <v>#VALUE!</v>
      </c>
      <c r="E11" s="364" t="e">
        <f aca="false">COUNTIFS(#REF!,'Matriz de Obj. Estrat.'!$B11,#REF!,"PE")</f>
        <v>#VALUE!</v>
      </c>
      <c r="F11" s="365" t="e">
        <f aca="false">SUMIFS(#REF!,#REF!,'Matriz de Obj. Estrat.'!$B11,#REF!,"PE")</f>
        <v>#VALUE!</v>
      </c>
      <c r="G11" s="364" t="e">
        <f aca="false">COUNTIFS(#REF!,'Matriz de Obj. Estrat.'!$B11,#REF!,"A")</f>
        <v>#VALUE!</v>
      </c>
      <c r="H11" s="365" t="e">
        <f aca="false">SUMIFS(#REF!,#REF!,'Matriz de Obj. Estrat.'!$B11,#REF!,"A")</f>
        <v>#VALUE!</v>
      </c>
      <c r="I11" s="364" t="e">
        <f aca="false">C11+E11+G11</f>
        <v>#VALUE!</v>
      </c>
      <c r="J11" s="365" t="e">
        <f aca="false">D11+F11+H11</f>
        <v>#VALUE!</v>
      </c>
      <c r="K11" s="366" t="n">
        <f aca="false">IFERROR(J11/$J$19*100,0)</f>
        <v>0</v>
      </c>
    </row>
    <row r="12" customFormat="false" ht="30.75" hidden="false" customHeight="true" outlineLevel="0" collapsed="false">
      <c r="A12" s="367"/>
      <c r="B12" s="363" t="s">
        <v>98</v>
      </c>
      <c r="C12" s="364" t="e">
        <f aca="false">COUNTIFS(#REF!,'Matriz de Obj. Estrat.'!$B12,#REF!,"P")</f>
        <v>#VALUE!</v>
      </c>
      <c r="D12" s="365" t="e">
        <f aca="false">SUMIFS(#REF!,#REF!,'Matriz de Obj. Estrat.'!$B12,#REF!,"P")</f>
        <v>#VALUE!</v>
      </c>
      <c r="E12" s="364" t="e">
        <f aca="false">COUNTIFS(#REF!,'Matriz de Obj. Estrat.'!$B12,#REF!,"PE")</f>
        <v>#VALUE!</v>
      </c>
      <c r="F12" s="365" t="e">
        <f aca="false">SUMIFS(#REF!,#REF!,'Matriz de Obj. Estrat.'!$B12,#REF!,"PE")</f>
        <v>#VALUE!</v>
      </c>
      <c r="G12" s="364" t="e">
        <f aca="false">COUNTIFS(#REF!,'Matriz de Obj. Estrat.'!$B12,#REF!,"A")</f>
        <v>#VALUE!</v>
      </c>
      <c r="H12" s="365" t="e">
        <f aca="false">SUMIFS(#REF!,#REF!,'Matriz de Obj. Estrat.'!$B12,#REF!,"A")</f>
        <v>#VALUE!</v>
      </c>
      <c r="I12" s="364" t="e">
        <f aca="false">C12+E12+G12</f>
        <v>#VALUE!</v>
      </c>
      <c r="J12" s="365" t="e">
        <f aca="false">D12+F12+H12</f>
        <v>#VALUE!</v>
      </c>
      <c r="K12" s="366" t="n">
        <f aca="false">IFERROR(J12/$J$19*100,0)</f>
        <v>0</v>
      </c>
    </row>
    <row r="13" customFormat="false" ht="30.75" hidden="false" customHeight="true" outlineLevel="0" collapsed="false">
      <c r="A13" s="367"/>
      <c r="B13" s="363" t="s">
        <v>108</v>
      </c>
      <c r="C13" s="364" t="e">
        <f aca="false">COUNTIFS(#REF!,'Matriz de Obj. Estrat.'!$B13,#REF!,"P")</f>
        <v>#VALUE!</v>
      </c>
      <c r="D13" s="365" t="e">
        <f aca="false">SUMIFS(#REF!,#REF!,'Matriz de Obj. Estrat.'!$B13,#REF!,"P")</f>
        <v>#VALUE!</v>
      </c>
      <c r="E13" s="364" t="e">
        <f aca="false">COUNTIFS(#REF!,'Matriz de Obj. Estrat.'!$B13,#REF!,"PE")</f>
        <v>#VALUE!</v>
      </c>
      <c r="F13" s="365" t="e">
        <f aca="false">SUMIFS(#REF!,#REF!,'Matriz de Obj. Estrat.'!$B13,#REF!,"PE")</f>
        <v>#VALUE!</v>
      </c>
      <c r="G13" s="364" t="e">
        <f aca="false">COUNTIFS(#REF!,'Matriz de Obj. Estrat.'!$B13,#REF!,"A")</f>
        <v>#VALUE!</v>
      </c>
      <c r="H13" s="365" t="e">
        <f aca="false">SUMIFS(#REF!,#REF!,'Matriz de Obj. Estrat.'!$B13,#REF!,"A")</f>
        <v>#VALUE!</v>
      </c>
      <c r="I13" s="364" t="e">
        <f aca="false">C13+E13+G13</f>
        <v>#VALUE!</v>
      </c>
      <c r="J13" s="365" t="e">
        <f aca="false">D13+F13+H13</f>
        <v>#VALUE!</v>
      </c>
      <c r="K13" s="366" t="n">
        <f aca="false">IFERROR(J13/$J$19*100,0)</f>
        <v>0</v>
      </c>
    </row>
    <row r="14" customFormat="false" ht="30.75" hidden="false" customHeight="true" outlineLevel="0" collapsed="false">
      <c r="A14" s="367"/>
      <c r="B14" s="363" t="s">
        <v>117</v>
      </c>
      <c r="C14" s="364" t="e">
        <f aca="false">COUNTIFS(#REF!,'Matriz de Obj. Estrat.'!$B14,#REF!,"P")</f>
        <v>#VALUE!</v>
      </c>
      <c r="D14" s="365" t="e">
        <f aca="false">SUMIFS(#REF!,#REF!,'Matriz de Obj. Estrat.'!$B14,#REF!,"P")</f>
        <v>#VALUE!</v>
      </c>
      <c r="E14" s="364" t="e">
        <f aca="false">COUNTIFS(#REF!,'Matriz de Obj. Estrat.'!$B14,#REF!,"PE")</f>
        <v>#VALUE!</v>
      </c>
      <c r="F14" s="365" t="e">
        <f aca="false">SUMIFS(#REF!,#REF!,'Matriz de Obj. Estrat.'!$B14,#REF!,"PE")</f>
        <v>#VALUE!</v>
      </c>
      <c r="G14" s="364" t="e">
        <f aca="false">COUNTIFS(#REF!,'Matriz de Obj. Estrat.'!$B14,#REF!,"A")</f>
        <v>#VALUE!</v>
      </c>
      <c r="H14" s="365" t="e">
        <f aca="false">SUMIFS(#REF!,#REF!,'Matriz de Obj. Estrat.'!$B14,#REF!,"A")</f>
        <v>#VALUE!</v>
      </c>
      <c r="I14" s="364" t="e">
        <f aca="false">C14+E14+G14</f>
        <v>#VALUE!</v>
      </c>
      <c r="J14" s="365" t="e">
        <f aca="false">D14+F14+H14</f>
        <v>#VALUE!</v>
      </c>
      <c r="K14" s="366" t="n">
        <f aca="false">IFERROR(J14/$J$19*100,0)</f>
        <v>0</v>
      </c>
    </row>
    <row r="15" customFormat="false" ht="30.75" hidden="false" customHeight="true" outlineLevel="0" collapsed="false">
      <c r="A15" s="367"/>
      <c r="B15" s="363" t="s">
        <v>134</v>
      </c>
      <c r="C15" s="364" t="e">
        <f aca="false">COUNTIFS(#REF!,'Matriz de Obj. Estrat.'!$B15,#REF!,"P")</f>
        <v>#VALUE!</v>
      </c>
      <c r="D15" s="365" t="e">
        <f aca="false">SUMIFS(#REF!,#REF!,'Matriz de Obj. Estrat.'!$B15,#REF!,"P")</f>
        <v>#VALUE!</v>
      </c>
      <c r="E15" s="364" t="e">
        <f aca="false">COUNTIFS(#REF!,'Matriz de Obj. Estrat.'!$B15,#REF!,"PE")</f>
        <v>#VALUE!</v>
      </c>
      <c r="F15" s="365" t="e">
        <f aca="false">SUMIFS(#REF!,#REF!,'Matriz de Obj. Estrat.'!$B15,#REF!,"PE")</f>
        <v>#VALUE!</v>
      </c>
      <c r="G15" s="364" t="e">
        <f aca="false">COUNTIFS(#REF!,'Matriz de Obj. Estrat.'!$B15,#REF!,"A")</f>
        <v>#VALUE!</v>
      </c>
      <c r="H15" s="365" t="e">
        <f aca="false">SUMIFS(#REF!,#REF!,'Matriz de Obj. Estrat.'!$B15,#REF!,"A")</f>
        <v>#VALUE!</v>
      </c>
      <c r="I15" s="364" t="e">
        <f aca="false">C15+E15+G15</f>
        <v>#VALUE!</v>
      </c>
      <c r="J15" s="365" t="e">
        <f aca="false">D15+F15+H15</f>
        <v>#VALUE!</v>
      </c>
      <c r="K15" s="366" t="n">
        <f aca="false">IFERROR(J15/$J$19*100,0)</f>
        <v>0</v>
      </c>
    </row>
    <row r="16" customFormat="false" ht="30.75" hidden="false" customHeight="true" outlineLevel="0" collapsed="false">
      <c r="A16" s="368" t="s">
        <v>649</v>
      </c>
      <c r="B16" s="363" t="s">
        <v>143</v>
      </c>
      <c r="C16" s="364" t="e">
        <f aca="false">COUNTIFS(#REF!,'Matriz de Obj. Estrat.'!$B16,#REF!,"P")</f>
        <v>#VALUE!</v>
      </c>
      <c r="D16" s="365" t="e">
        <f aca="false">SUMIFS(#REF!,#REF!,'Matriz de Obj. Estrat.'!$B16,#REF!,"P")</f>
        <v>#VALUE!</v>
      </c>
      <c r="E16" s="364" t="e">
        <f aca="false">COUNTIFS(#REF!,'Matriz de Obj. Estrat.'!$B16,#REF!,"PE")</f>
        <v>#VALUE!</v>
      </c>
      <c r="F16" s="365" t="e">
        <f aca="false">SUMIFS(#REF!,#REF!,'Matriz de Obj. Estrat.'!$B16,#REF!,"PE")</f>
        <v>#VALUE!</v>
      </c>
      <c r="G16" s="364" t="e">
        <f aca="false">COUNTIFS(#REF!,'Matriz de Obj. Estrat.'!$B16,#REF!,"A")</f>
        <v>#VALUE!</v>
      </c>
      <c r="H16" s="365" t="e">
        <f aca="false">SUMIFS(#REF!,#REF!,'Matriz de Obj. Estrat.'!$B16,#REF!,"A")</f>
        <v>#VALUE!</v>
      </c>
      <c r="I16" s="364" t="e">
        <f aca="false">C16+E16+G16</f>
        <v>#VALUE!</v>
      </c>
      <c r="J16" s="365" t="e">
        <f aca="false">D16+F16+H16</f>
        <v>#VALUE!</v>
      </c>
      <c r="K16" s="366" t="n">
        <f aca="false">IFERROR(J16/$J$19*100,0)</f>
        <v>0</v>
      </c>
    </row>
    <row r="17" customFormat="false" ht="30.75" hidden="false" customHeight="true" outlineLevel="0" collapsed="false">
      <c r="A17" s="368"/>
      <c r="B17" s="363" t="s">
        <v>147</v>
      </c>
      <c r="C17" s="364" t="e">
        <f aca="false">COUNTIFS(#REF!,'Matriz de Obj. Estrat.'!$B17,#REF!,"P")</f>
        <v>#VALUE!</v>
      </c>
      <c r="D17" s="365" t="e">
        <f aca="false">SUMIFS(#REF!,#REF!,'Matriz de Obj. Estrat.'!$B17,#REF!,"P")</f>
        <v>#VALUE!</v>
      </c>
      <c r="E17" s="364" t="e">
        <f aca="false">COUNTIFS(#REF!,'Matriz de Obj. Estrat.'!$B17,#REF!,"PE")</f>
        <v>#VALUE!</v>
      </c>
      <c r="F17" s="365" t="e">
        <f aca="false">SUMIFS(#REF!,#REF!,'Matriz de Obj. Estrat.'!$B17,#REF!,"PE")</f>
        <v>#VALUE!</v>
      </c>
      <c r="G17" s="364" t="e">
        <f aca="false">COUNTIFS(#REF!,'Matriz de Obj. Estrat.'!$B17,#REF!,"A")</f>
        <v>#VALUE!</v>
      </c>
      <c r="H17" s="365" t="e">
        <f aca="false">SUMIFS(#REF!,#REF!,'Matriz de Obj. Estrat.'!$B17,#REF!,"A")</f>
        <v>#VALUE!</v>
      </c>
      <c r="I17" s="364" t="e">
        <f aca="false">C17+E17+G17</f>
        <v>#VALUE!</v>
      </c>
      <c r="J17" s="365" t="e">
        <f aca="false">D17+F17+H17</f>
        <v>#VALUE!</v>
      </c>
      <c r="K17" s="366" t="n">
        <f aca="false">IFERROR(J17/$J$19*100,0)</f>
        <v>0</v>
      </c>
    </row>
    <row r="18" customFormat="false" ht="30.75" hidden="false" customHeight="true" outlineLevel="0" collapsed="false">
      <c r="A18" s="368"/>
      <c r="B18" s="363" t="s">
        <v>153</v>
      </c>
      <c r="C18" s="364" t="e">
        <f aca="false">COUNTIFS(#REF!,'Matriz de Obj. Estrat.'!$B18,#REF!,"P")</f>
        <v>#VALUE!</v>
      </c>
      <c r="D18" s="365" t="e">
        <f aca="false">SUMIFS(#REF!,#REF!,'Matriz de Obj. Estrat.'!$B18,#REF!,"P")</f>
        <v>#VALUE!</v>
      </c>
      <c r="E18" s="364" t="e">
        <f aca="false">COUNTIFS(#REF!,'Matriz de Obj. Estrat.'!$B18,#REF!,"PE")</f>
        <v>#VALUE!</v>
      </c>
      <c r="F18" s="365" t="e">
        <f aca="false">SUMIFS(#REF!,#REF!,'Matriz de Obj. Estrat.'!$B18,#REF!,"PE")</f>
        <v>#VALUE!</v>
      </c>
      <c r="G18" s="364" t="e">
        <f aca="false">COUNTIFS(#REF!,'Matriz de Obj. Estrat.'!$B18,#REF!,"A")</f>
        <v>#VALUE!</v>
      </c>
      <c r="H18" s="365" t="e">
        <f aca="false">SUMIFS(#REF!,#REF!,'Matriz de Obj. Estrat.'!$B18,#REF!,"A")</f>
        <v>#VALUE!</v>
      </c>
      <c r="I18" s="364" t="e">
        <f aca="false">C18+E18+G18</f>
        <v>#VALUE!</v>
      </c>
      <c r="J18" s="365" t="e">
        <f aca="false">D18+F18+H18</f>
        <v>#VALUE!</v>
      </c>
      <c r="K18" s="366" t="n">
        <f aca="false">IFERROR(J18/$J$19*100,0)</f>
        <v>0</v>
      </c>
    </row>
    <row r="19" customFormat="false" ht="23.5" hidden="false" customHeight="false" outlineLevel="0" collapsed="false">
      <c r="A19" s="369" t="s">
        <v>393</v>
      </c>
      <c r="B19" s="369"/>
      <c r="C19" s="370" t="e">
        <f aca="false">SUM(C3:C18)</f>
        <v>#VALUE!</v>
      </c>
      <c r="D19" s="370" t="e">
        <f aca="false">SUM(D3:D18)</f>
        <v>#VALUE!</v>
      </c>
      <c r="E19" s="370" t="e">
        <f aca="false">SUM(E3:E18)</f>
        <v>#VALUE!</v>
      </c>
      <c r="F19" s="370" t="e">
        <f aca="false">SUM(F3:F18)</f>
        <v>#VALUE!</v>
      </c>
      <c r="G19" s="370" t="e">
        <f aca="false">SUM(G3:G18)</f>
        <v>#VALUE!</v>
      </c>
      <c r="H19" s="370" t="e">
        <f aca="false">SUM(H3:H18)</f>
        <v>#VALUE!</v>
      </c>
      <c r="I19" s="370" t="e">
        <f aca="false">SUM(I3:I18)</f>
        <v>#VALUE!</v>
      </c>
      <c r="J19" s="370" t="e">
        <f aca="false">SUM(J3:J18)</f>
        <v>#VALUE!</v>
      </c>
      <c r="K19" s="371" t="n">
        <f aca="false">SUM(K3:K18)</f>
        <v>0</v>
      </c>
      <c r="L19" s="372"/>
    </row>
    <row r="20" customFormat="false" ht="22.5" hidden="false" customHeight="false" outlineLevel="0" collapsed="false">
      <c r="D20" s="373"/>
      <c r="E20" s="374"/>
      <c r="F20" s="373"/>
      <c r="G20" s="375"/>
      <c r="H20" s="373"/>
      <c r="I20" s="375"/>
      <c r="J20" s="376" t="e">
        <f aca="false">#REF!</f>
        <v>#REF!</v>
      </c>
    </row>
    <row r="21" customFormat="false" ht="22.5" hidden="false" customHeight="false" outlineLevel="0" collapsed="false">
      <c r="C21" s="377"/>
      <c r="G21" s="377"/>
      <c r="J21" s="376" t="e">
        <f aca="false">J20=J19</f>
        <v>#REF!</v>
      </c>
    </row>
    <row r="22" customFormat="false" ht="22.5" hidden="true" customHeight="false" outlineLevel="0" collapsed="false">
      <c r="E22" s="378"/>
    </row>
    <row r="23" customFormat="false" ht="22.5" hidden="true" customHeight="false" outlineLevel="0" collapsed="false">
      <c r="E23" s="378"/>
      <c r="G23" s="377"/>
    </row>
    <row r="24" customFormat="false" ht="22.5" hidden="true" customHeight="false" outlineLevel="0" collapsed="false">
      <c r="E24" s="378"/>
    </row>
    <row r="25" customFormat="false" ht="22.5" hidden="true" customHeight="false" outlineLevel="0" collapsed="false">
      <c r="A25" s="352"/>
      <c r="I25" s="377"/>
    </row>
    <row r="26" customFormat="false" ht="22.5" hidden="true" customHeight="false" outlineLevel="0" collapsed="false">
      <c r="A26" s="352"/>
      <c r="G26" s="378"/>
      <c r="I26" s="377"/>
    </row>
  </sheetData>
  <mergeCells count="11">
    <mergeCell ref="A1:A2"/>
    <mergeCell ref="B1:B2"/>
    <mergeCell ref="C1:D1"/>
    <mergeCell ref="E1:F1"/>
    <mergeCell ref="G1:H1"/>
    <mergeCell ref="I1:J1"/>
    <mergeCell ref="K1:K2"/>
    <mergeCell ref="A3:A4"/>
    <mergeCell ref="A5:A15"/>
    <mergeCell ref="A16:A18"/>
    <mergeCell ref="A19:B19"/>
  </mergeCells>
  <conditionalFormatting sqref="C2:D2 G2:I2">
    <cfRule type="cellIs" priority="2" operator="equal" aboveAverage="0" equalAverage="0" bottom="0" percent="0" rank="0" text="" dxfId="12">
      <formula>"S"</formula>
    </cfRule>
    <cfRule type="cellIs" priority="3" operator="equal" aboveAverage="0" equalAverage="0" bottom="0" percent="0" rank="0" text="" dxfId="13">
      <formula>"P"</formula>
    </cfRule>
    <cfRule type="cellIs" priority="4" operator="equal" aboveAverage="0" equalAverage="0" bottom="0" percent="0" rank="0" text="" dxfId="14">
      <formula>"x"</formula>
    </cfRule>
  </conditionalFormatting>
  <conditionalFormatting sqref="E2:F2">
    <cfRule type="cellIs" priority="5" operator="equal" aboveAverage="0" equalAverage="0" bottom="0" percent="0" rank="0" text="" dxfId="15">
      <formula>"S"</formula>
    </cfRule>
    <cfRule type="cellIs" priority="6" operator="equal" aboveAverage="0" equalAverage="0" bottom="0" percent="0" rank="0" text="" dxfId="16">
      <formula>"P"</formula>
    </cfRule>
    <cfRule type="cellIs" priority="7" operator="equal" aboveAverage="0" equalAverage="0" bottom="0" percent="0" rank="0" text="" dxfId="17">
      <formula>"x"</formula>
    </cfRule>
  </conditionalFormatting>
  <conditionalFormatting sqref="J21">
    <cfRule type="cellIs" priority="8" operator="equal" aboveAverage="0" equalAverage="0" bottom="0" percent="0" rank="0" text="" dxfId="18">
      <formula>1</formula>
    </cfRule>
    <cfRule type="cellIs" priority="9" operator="equal" aboveAverage="0" equalAverage="0" bottom="0" percent="0" rank="0" text="" dxfId="19">
      <formula>0</formula>
    </cfRule>
  </conditionalFormatting>
  <dataValidations count="1">
    <dataValidation allowBlank="true" errorStyle="stop" operator="between" showDropDown="false" showErrorMessage="true" showInputMessage="true" sqref="M3:M5" type="list">
      <formula1>'Validação de dados'!$D$1:$D$16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3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Manager>Luiz Antonio Poletto</Manager>
  <TotalTime>0</TotalTime>
  <Application>LibreOffice/7.1.3.2$Windows_X86_64 LibreOffice_project/47f78053abe362b9384784d31a6e56f8511eb1c1</Application>
  <AppVersion>15.0000</AppVersion>
  <Company>CAU/BR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2013-07-30T15:20:59Z</dcterms:created>
  <dc:creator>GERPLAN-CAU/BR</dc:creator>
  <dc:description/>
  <dc:language>pt-BR</dc:language>
  <cp:lastModifiedBy>user</cp:lastModifiedBy>
  <cp:lastPrinted>2021-11-26T18:26:53Z</cp:lastPrinted>
  <dcterms:modified xsi:type="dcterms:W3CDTF">2022-01-28T14:21:42Z</dcterms:modified>
  <cp:revision>0</cp:revision>
  <dc:subject>Programação 2022</dc:subject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